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eva\ar4_IEVA_proj_2014_2\"/>
    </mc:Choice>
  </mc:AlternateContent>
  <bookViews>
    <workbookView xWindow="0" yWindow="45" windowWidth="19155" windowHeight="11820" tabRatio="906" firstSheet="4" activeTab="7"/>
  </bookViews>
  <sheets>
    <sheet name="gridas_1st" sheetId="1" r:id="rId1"/>
    <sheet name="gridas_2st" sheetId="2" r:id="rId2"/>
    <sheet name="gridas_3 st" sheetId="13" r:id="rId3"/>
    <sheet name="sienas_1st" sheetId="4" r:id="rId4"/>
    <sheet name="sienas_2st" sheetId="5" r:id="rId5"/>
    <sheet name="sienas_3st" sheetId="15" r:id="rId6"/>
    <sheet name="griesti_lampas_1st" sheetId="6" r:id="rId7"/>
    <sheet name="griesti_lampas_2st" sheetId="7" r:id="rId8"/>
    <sheet name="griesti_lampas_3st" sheetId="14" r:id="rId9"/>
    <sheet name="mebeles_1st" sheetId="9" r:id="rId10"/>
    <sheet name="mebeles_2st" sheetId="10" r:id="rId11"/>
    <sheet name="santehn_1st" sheetId="11" r:id="rId12"/>
    <sheet name="santehn_2st" sheetId="12" r:id="rId13"/>
    <sheet name="santehn_3st" sheetId="16" r:id="rId14"/>
    <sheet name="zaluzijas_durvju drosiba_1-2st" sheetId="18" r:id="rId15"/>
  </sheets>
  <calcPr calcId="152511"/>
</workbook>
</file>

<file path=xl/calcChain.xml><?xml version="1.0" encoding="utf-8"?>
<calcChain xmlns="http://schemas.openxmlformats.org/spreadsheetml/2006/main">
  <c r="G7" i="14" l="1"/>
  <c r="S52" i="7"/>
  <c r="P76" i="6"/>
  <c r="P75" i="6" l="1"/>
  <c r="AA54" i="18" l="1"/>
  <c r="N77" i="18"/>
  <c r="M77" i="18"/>
  <c r="L77" i="18"/>
  <c r="K77" i="18"/>
  <c r="K78" i="18" s="1"/>
  <c r="J77" i="18"/>
  <c r="J78" i="18" s="1"/>
  <c r="I77" i="18"/>
  <c r="I78" i="18" s="1"/>
  <c r="H77" i="18"/>
  <c r="G77" i="18"/>
  <c r="G78" i="18" s="1"/>
  <c r="F77" i="18"/>
  <c r="E77" i="18"/>
  <c r="AA53" i="18"/>
  <c r="Z53" i="18"/>
  <c r="Z54" i="18" s="1"/>
  <c r="Y53" i="18"/>
  <c r="Y54" i="18" s="1"/>
  <c r="X53" i="18"/>
  <c r="X54" i="18" s="1"/>
  <c r="W53" i="18"/>
  <c r="H78" i="18" s="1"/>
  <c r="V53" i="18"/>
  <c r="V54" i="18" s="1"/>
  <c r="U53" i="18"/>
  <c r="U54" i="18" s="1"/>
  <c r="T53" i="18"/>
  <c r="S53" i="18"/>
  <c r="S54" i="18" s="1"/>
  <c r="M78" i="18" l="1"/>
  <c r="N78" i="18"/>
  <c r="T54" i="18"/>
  <c r="W54" i="18"/>
  <c r="E78" i="18"/>
  <c r="F78" i="18"/>
  <c r="L78" i="18"/>
  <c r="D77" i="18"/>
  <c r="D78" i="18" s="1"/>
  <c r="R51" i="5"/>
  <c r="S51" i="5"/>
  <c r="T51" i="5"/>
  <c r="R75" i="4"/>
  <c r="S75" i="4"/>
  <c r="S76" i="4" s="1"/>
  <c r="T75" i="4"/>
  <c r="T52" i="5" s="1"/>
  <c r="R52" i="5" l="1"/>
  <c r="T76" i="4"/>
  <c r="S52" i="5"/>
  <c r="R76" i="4"/>
  <c r="T53" i="12"/>
  <c r="E7" i="16"/>
  <c r="F7" i="16"/>
  <c r="D7" i="16"/>
  <c r="L41" i="5"/>
  <c r="Q76" i="11"/>
  <c r="E52" i="12"/>
  <c r="F52" i="12"/>
  <c r="G52" i="12"/>
  <c r="H52" i="12"/>
  <c r="I52" i="12"/>
  <c r="J52" i="12"/>
  <c r="K52" i="12"/>
  <c r="L52" i="12"/>
  <c r="M52" i="12"/>
  <c r="N52" i="12"/>
  <c r="O52" i="12"/>
  <c r="P52" i="12"/>
  <c r="Q52" i="12"/>
  <c r="R52" i="12"/>
  <c r="S52" i="12"/>
  <c r="T52" i="12"/>
  <c r="U52" i="12"/>
  <c r="V52" i="12"/>
  <c r="W52" i="12"/>
  <c r="X52" i="12"/>
  <c r="Y52" i="12"/>
  <c r="Z52" i="12"/>
  <c r="Z53" i="12" s="1"/>
  <c r="AA52" i="12"/>
  <c r="AB52" i="12"/>
  <c r="AC52" i="12"/>
  <c r="D52" i="12"/>
  <c r="AC76" i="11"/>
  <c r="AB53" i="12" s="1"/>
  <c r="AD76" i="11"/>
  <c r="AC53" i="12" s="1"/>
  <c r="E76" i="11"/>
  <c r="E53" i="12" s="1"/>
  <c r="F76" i="11"/>
  <c r="F53" i="12" s="1"/>
  <c r="G76" i="11"/>
  <c r="G77" i="11" s="1"/>
  <c r="H76" i="11"/>
  <c r="I76" i="11"/>
  <c r="H53" i="12" s="1"/>
  <c r="J76" i="11"/>
  <c r="J77" i="11" s="1"/>
  <c r="K76" i="11"/>
  <c r="K77" i="11" s="1"/>
  <c r="L76" i="11"/>
  <c r="L77" i="11" s="1"/>
  <c r="M76" i="11"/>
  <c r="K53" i="12" s="1"/>
  <c r="N76" i="11"/>
  <c r="N77" i="11" s="1"/>
  <c r="O76" i="11"/>
  <c r="O77" i="11" s="1"/>
  <c r="P76" i="11"/>
  <c r="P77" i="11" s="1"/>
  <c r="R76" i="11"/>
  <c r="F8" i="16" s="1"/>
  <c r="S76" i="11"/>
  <c r="S77" i="11" s="1"/>
  <c r="T76" i="11"/>
  <c r="T77" i="11" s="1"/>
  <c r="U76" i="11"/>
  <c r="U77" i="11" s="1"/>
  <c r="V76" i="11"/>
  <c r="S53" i="12" s="1"/>
  <c r="W76" i="11"/>
  <c r="W77" i="11" s="1"/>
  <c r="X76" i="11"/>
  <c r="X77" i="11" s="1"/>
  <c r="Y76" i="11"/>
  <c r="W53" i="12" s="1"/>
  <c r="Z76" i="11"/>
  <c r="X53" i="12" s="1"/>
  <c r="AA76" i="11"/>
  <c r="AA77" i="11" s="1"/>
  <c r="AB76" i="11"/>
  <c r="AA53" i="12" s="1"/>
  <c r="D76" i="11"/>
  <c r="M75" i="4"/>
  <c r="N75" i="4"/>
  <c r="N76" i="4" s="1"/>
  <c r="N52" i="5" s="1"/>
  <c r="O75" i="4"/>
  <c r="P75" i="4"/>
  <c r="Q75" i="4"/>
  <c r="N51" i="5"/>
  <c r="O51" i="5"/>
  <c r="P51" i="5"/>
  <c r="P76" i="4" s="1"/>
  <c r="P52" i="5" s="1"/>
  <c r="Q51" i="5"/>
  <c r="L15" i="4"/>
  <c r="K15" i="4"/>
  <c r="K13" i="4"/>
  <c r="L13" i="4"/>
  <c r="G5" i="15"/>
  <c r="G6" i="15" s="1"/>
  <c r="M38" i="5"/>
  <c r="L38" i="5"/>
  <c r="M24" i="5"/>
  <c r="M31" i="5"/>
  <c r="L24" i="5"/>
  <c r="L31" i="5"/>
  <c r="M42" i="5"/>
  <c r="L42" i="5"/>
  <c r="M9" i="5"/>
  <c r="L9" i="5"/>
  <c r="L13" i="5"/>
  <c r="L14" i="5"/>
  <c r="K52" i="4"/>
  <c r="K43" i="4"/>
  <c r="K33" i="4"/>
  <c r="K23" i="4"/>
  <c r="L17" i="5"/>
  <c r="M17" i="5"/>
  <c r="M40" i="5"/>
  <c r="L40" i="5"/>
  <c r="L44" i="5"/>
  <c r="L52" i="4"/>
  <c r="L44" i="4"/>
  <c r="K44" i="4"/>
  <c r="L43" i="4"/>
  <c r="K34" i="4"/>
  <c r="L34" i="4"/>
  <c r="L33" i="4"/>
  <c r="L23" i="4"/>
  <c r="K20" i="4"/>
  <c r="K19" i="4"/>
  <c r="L17" i="4"/>
  <c r="K17" i="4"/>
  <c r="M76" i="4"/>
  <c r="AS51" i="10"/>
  <c r="AS52" i="10" s="1"/>
  <c r="L75" i="1"/>
  <c r="N51" i="2"/>
  <c r="F6" i="13"/>
  <c r="F6" i="15"/>
  <c r="F7" i="15" s="1"/>
  <c r="E4" i="15"/>
  <c r="E6" i="15" s="1"/>
  <c r="K51" i="5"/>
  <c r="K52" i="5" s="1"/>
  <c r="J75" i="4"/>
  <c r="J76" i="4" s="1"/>
  <c r="E49" i="5"/>
  <c r="F48" i="5"/>
  <c r="E48" i="5"/>
  <c r="E47" i="5"/>
  <c r="E46" i="5"/>
  <c r="F45" i="5"/>
  <c r="E45" i="5"/>
  <c r="E50" i="5"/>
  <c r="F50" i="5"/>
  <c r="G44" i="5"/>
  <c r="H44" i="5"/>
  <c r="F43" i="5"/>
  <c r="E43" i="5"/>
  <c r="F41" i="5"/>
  <c r="E41" i="5"/>
  <c r="E40" i="5"/>
  <c r="F40" i="5"/>
  <c r="E39" i="5"/>
  <c r="E16" i="5"/>
  <c r="F37" i="5"/>
  <c r="E37" i="5"/>
  <c r="F36" i="5"/>
  <c r="E36" i="5"/>
  <c r="F35" i="5"/>
  <c r="E35" i="5"/>
  <c r="F34" i="5"/>
  <c r="E34" i="5"/>
  <c r="F33" i="5"/>
  <c r="E33" i="5"/>
  <c r="F32" i="5"/>
  <c r="E32" i="5"/>
  <c r="F30" i="5"/>
  <c r="E30" i="5"/>
  <c r="F29" i="5"/>
  <c r="E29" i="5"/>
  <c r="F28" i="5"/>
  <c r="E28" i="5"/>
  <c r="E27" i="5"/>
  <c r="F27" i="5"/>
  <c r="F26" i="5"/>
  <c r="E26" i="5"/>
  <c r="F25" i="5"/>
  <c r="E25" i="5"/>
  <c r="F23" i="5"/>
  <c r="E23" i="5"/>
  <c r="E22" i="5"/>
  <c r="F22" i="5"/>
  <c r="F20" i="5"/>
  <c r="E20" i="5"/>
  <c r="E21" i="5"/>
  <c r="F21" i="5"/>
  <c r="F19" i="5"/>
  <c r="E19" i="5"/>
  <c r="E18" i="5"/>
  <c r="F18" i="5"/>
  <c r="F15" i="5"/>
  <c r="E15" i="5"/>
  <c r="F12" i="5"/>
  <c r="E12" i="5"/>
  <c r="E10" i="5"/>
  <c r="F10" i="5"/>
  <c r="E11" i="5"/>
  <c r="F11" i="5"/>
  <c r="I9" i="5"/>
  <c r="I51" i="5" s="1"/>
  <c r="J9" i="5"/>
  <c r="J51" i="5" s="1"/>
  <c r="G8" i="5"/>
  <c r="G51" i="5" s="1"/>
  <c r="H8" i="5"/>
  <c r="H51" i="5" s="1"/>
  <c r="H52" i="5" s="1"/>
  <c r="F7" i="5"/>
  <c r="F51" i="5" s="1"/>
  <c r="E7" i="5"/>
  <c r="E6" i="5"/>
  <c r="E5" i="5"/>
  <c r="E4" i="5"/>
  <c r="E5" i="4"/>
  <c r="E73" i="4"/>
  <c r="H73" i="4"/>
  <c r="F73" i="4"/>
  <c r="G72" i="4"/>
  <c r="E71" i="4"/>
  <c r="H65" i="4"/>
  <c r="I65" i="4"/>
  <c r="I60" i="4"/>
  <c r="H60" i="4"/>
  <c r="F59" i="4"/>
  <c r="E59" i="4"/>
  <c r="H58" i="4"/>
  <c r="I58" i="4"/>
  <c r="I57" i="4"/>
  <c r="H57" i="4"/>
  <c r="H56" i="4"/>
  <c r="I56" i="4"/>
  <c r="I55" i="4"/>
  <c r="H55" i="4"/>
  <c r="E54" i="4"/>
  <c r="E53" i="4"/>
  <c r="E22" i="4"/>
  <c r="I52" i="4"/>
  <c r="H52" i="4"/>
  <c r="F51" i="4"/>
  <c r="E51" i="4"/>
  <c r="F50" i="4"/>
  <c r="E50" i="4"/>
  <c r="F49" i="4"/>
  <c r="E49" i="4"/>
  <c r="F48" i="4"/>
  <c r="E48" i="4"/>
  <c r="E47" i="4"/>
  <c r="F47" i="4"/>
  <c r="E45" i="4"/>
  <c r="F45" i="4"/>
  <c r="F46" i="4"/>
  <c r="E46" i="4"/>
  <c r="E42" i="4"/>
  <c r="F42" i="4"/>
  <c r="I43" i="4"/>
  <c r="H43" i="4"/>
  <c r="I44" i="4"/>
  <c r="H44" i="4"/>
  <c r="F41" i="4"/>
  <c r="E41" i="4"/>
  <c r="F40" i="4"/>
  <c r="E40" i="4"/>
  <c r="E39" i="4"/>
  <c r="F39" i="4"/>
  <c r="F38" i="4"/>
  <c r="E38" i="4"/>
  <c r="E37" i="4"/>
  <c r="F37" i="4"/>
  <c r="F36" i="4"/>
  <c r="E36" i="4"/>
  <c r="E35" i="4"/>
  <c r="F35" i="4"/>
  <c r="H34" i="4"/>
  <c r="I34" i="4"/>
  <c r="H33" i="4"/>
  <c r="I33" i="4"/>
  <c r="F32" i="4"/>
  <c r="E32" i="4"/>
  <c r="E31" i="4"/>
  <c r="F31" i="4"/>
  <c r="F30" i="4"/>
  <c r="E30" i="4"/>
  <c r="F29" i="4"/>
  <c r="E29" i="4"/>
  <c r="E28" i="4"/>
  <c r="F27" i="4"/>
  <c r="E27" i="4"/>
  <c r="F26" i="4"/>
  <c r="E26" i="4"/>
  <c r="F25" i="4"/>
  <c r="E25" i="4"/>
  <c r="E24" i="4"/>
  <c r="I23" i="4"/>
  <c r="H23" i="4"/>
  <c r="H21" i="4"/>
  <c r="I21" i="4"/>
  <c r="E18" i="4"/>
  <c r="F18" i="4"/>
  <c r="H17" i="4"/>
  <c r="I13" i="4"/>
  <c r="H13" i="4"/>
  <c r="F16" i="4"/>
  <c r="E16" i="4"/>
  <c r="F15" i="4"/>
  <c r="E15" i="4"/>
  <c r="G14" i="4"/>
  <c r="E12" i="4"/>
  <c r="F12" i="4"/>
  <c r="F11" i="4"/>
  <c r="E11" i="4"/>
  <c r="E10" i="4"/>
  <c r="F10" i="4"/>
  <c r="G9" i="4"/>
  <c r="G75" i="4" s="1"/>
  <c r="E8" i="4"/>
  <c r="E7" i="4"/>
  <c r="E6" i="4"/>
  <c r="F5" i="4"/>
  <c r="E4" i="4"/>
  <c r="O49" i="2"/>
  <c r="O4" i="2"/>
  <c r="O51" i="2" s="1"/>
  <c r="M73" i="1"/>
  <c r="M5" i="1"/>
  <c r="J49" i="2"/>
  <c r="J51" i="2" s="1"/>
  <c r="J52" i="2" s="1"/>
  <c r="M51" i="2"/>
  <c r="K75" i="1"/>
  <c r="E6" i="13"/>
  <c r="E51" i="2"/>
  <c r="E52" i="2" s="1"/>
  <c r="F51" i="2"/>
  <c r="F52" i="2" s="1"/>
  <c r="G51" i="2"/>
  <c r="H51" i="2"/>
  <c r="H52" i="2" s="1"/>
  <c r="I51" i="2"/>
  <c r="I52" i="2" s="1"/>
  <c r="K51" i="2"/>
  <c r="L51" i="2"/>
  <c r="D6" i="15"/>
  <c r="E5" i="14"/>
  <c r="E6" i="14" s="1"/>
  <c r="G6" i="14"/>
  <c r="M51" i="7"/>
  <c r="N51" i="7"/>
  <c r="O51" i="7"/>
  <c r="O52" i="7" s="1"/>
  <c r="S51" i="7"/>
  <c r="K75" i="6"/>
  <c r="L75" i="6"/>
  <c r="M75" i="6"/>
  <c r="N75" i="6"/>
  <c r="O75" i="6"/>
  <c r="Q75" i="6"/>
  <c r="U75" i="6"/>
  <c r="U76" i="6" s="1"/>
  <c r="V75" i="6"/>
  <c r="V76" i="6" s="1"/>
  <c r="W75" i="6"/>
  <c r="W76" i="6" s="1"/>
  <c r="X75" i="6"/>
  <c r="X76" i="6" s="1"/>
  <c r="F6" i="14"/>
  <c r="R75" i="6"/>
  <c r="P51" i="7"/>
  <c r="Q51" i="7"/>
  <c r="R51" i="7"/>
  <c r="T51" i="7"/>
  <c r="U51" i="7"/>
  <c r="V51" i="7"/>
  <c r="V52" i="7" s="1"/>
  <c r="W51" i="7"/>
  <c r="X51" i="7"/>
  <c r="X52" i="7" s="1"/>
  <c r="Y51" i="7"/>
  <c r="Y52" i="7" s="1"/>
  <c r="E26" i="6"/>
  <c r="E49" i="6"/>
  <c r="E19" i="7"/>
  <c r="E36" i="7"/>
  <c r="E49" i="7"/>
  <c r="L51" i="7"/>
  <c r="L52" i="7" s="1"/>
  <c r="E50" i="7"/>
  <c r="F51" i="7"/>
  <c r="J51" i="7"/>
  <c r="J52" i="7" s="1"/>
  <c r="K51" i="7"/>
  <c r="K52" i="7" s="1"/>
  <c r="E47" i="7"/>
  <c r="E45" i="7"/>
  <c r="E44" i="7"/>
  <c r="G43" i="7"/>
  <c r="H42" i="7"/>
  <c r="E41" i="7"/>
  <c r="E40" i="7"/>
  <c r="H38" i="7"/>
  <c r="E37" i="7"/>
  <c r="G35" i="7"/>
  <c r="E34" i="7"/>
  <c r="E33" i="7"/>
  <c r="G32" i="7"/>
  <c r="H31" i="7"/>
  <c r="G30" i="7"/>
  <c r="E27" i="7"/>
  <c r="E28" i="7"/>
  <c r="E29" i="7"/>
  <c r="E26" i="7"/>
  <c r="G25" i="7"/>
  <c r="H24" i="7"/>
  <c r="G23" i="7"/>
  <c r="E22" i="7"/>
  <c r="E21" i="7"/>
  <c r="G20" i="7"/>
  <c r="E18" i="7"/>
  <c r="H17" i="7"/>
  <c r="E15" i="7"/>
  <c r="H14" i="7"/>
  <c r="H13" i="7"/>
  <c r="G12" i="7"/>
  <c r="E11" i="7"/>
  <c r="E10" i="7"/>
  <c r="E9" i="7"/>
  <c r="E8" i="7"/>
  <c r="G7" i="7"/>
  <c r="I6" i="7"/>
  <c r="I5" i="7"/>
  <c r="F65" i="6"/>
  <c r="E73" i="6"/>
  <c r="E72" i="6"/>
  <c r="E71" i="6"/>
  <c r="F67" i="6"/>
  <c r="F68" i="6"/>
  <c r="F69" i="6"/>
  <c r="F70" i="6"/>
  <c r="F66" i="6"/>
  <c r="F57" i="6"/>
  <c r="F58" i="6"/>
  <c r="F59" i="6"/>
  <c r="F60" i="6"/>
  <c r="F61" i="6"/>
  <c r="F62" i="6"/>
  <c r="F63" i="6"/>
  <c r="F64" i="6"/>
  <c r="F56" i="6"/>
  <c r="F55" i="6"/>
  <c r="H54" i="6"/>
  <c r="I52" i="6"/>
  <c r="E51" i="6"/>
  <c r="H50" i="6"/>
  <c r="E48" i="6"/>
  <c r="E47" i="6"/>
  <c r="H46" i="6"/>
  <c r="E45" i="6"/>
  <c r="I44" i="6"/>
  <c r="I43" i="6"/>
  <c r="E42" i="6"/>
  <c r="H41" i="6"/>
  <c r="E39" i="6"/>
  <c r="E40" i="6"/>
  <c r="E38" i="6"/>
  <c r="E37" i="6"/>
  <c r="H36" i="6"/>
  <c r="E35" i="6"/>
  <c r="I34" i="6"/>
  <c r="I33" i="6"/>
  <c r="E32" i="6"/>
  <c r="H31" i="6"/>
  <c r="E29" i="6"/>
  <c r="E30" i="6"/>
  <c r="E28" i="6"/>
  <c r="H27" i="6"/>
  <c r="E25" i="6"/>
  <c r="E24" i="6"/>
  <c r="I23" i="6"/>
  <c r="E21" i="6"/>
  <c r="I20" i="6"/>
  <c r="I19" i="6"/>
  <c r="H18" i="6"/>
  <c r="I17" i="6"/>
  <c r="H16" i="6"/>
  <c r="H15" i="6"/>
  <c r="E14" i="6"/>
  <c r="I13" i="6"/>
  <c r="H12" i="6"/>
  <c r="E11" i="6"/>
  <c r="E10" i="6"/>
  <c r="H9" i="6"/>
  <c r="E8" i="6"/>
  <c r="E7" i="6"/>
  <c r="E4" i="6"/>
  <c r="D51" i="7"/>
  <c r="D75" i="6"/>
  <c r="D51" i="5"/>
  <c r="R52" i="7" l="1"/>
  <c r="O76" i="6"/>
  <c r="M52" i="7"/>
  <c r="G7" i="15"/>
  <c r="Q76" i="4"/>
  <c r="Q52" i="5" s="1"/>
  <c r="H77" i="11"/>
  <c r="O53" i="12"/>
  <c r="E51" i="5"/>
  <c r="O76" i="4"/>
  <c r="O52" i="5" s="1"/>
  <c r="L51" i="5"/>
  <c r="M51" i="5"/>
  <c r="M52" i="5" s="1"/>
  <c r="E51" i="7"/>
  <c r="T52" i="7"/>
  <c r="P52" i="7"/>
  <c r="N52" i="2"/>
  <c r="M75" i="1"/>
  <c r="M76" i="1" s="1"/>
  <c r="I77" i="11"/>
  <c r="M77" i="11"/>
  <c r="Q77" i="11"/>
  <c r="V77" i="11"/>
  <c r="Z77" i="11"/>
  <c r="AD77" i="11"/>
  <c r="G53" i="12"/>
  <c r="J53" i="12"/>
  <c r="N53" i="12"/>
  <c r="R53" i="12"/>
  <c r="V53" i="12"/>
  <c r="E8" i="16"/>
  <c r="Y77" i="11"/>
  <c r="AC77" i="11"/>
  <c r="R77" i="11"/>
  <c r="I53" i="12"/>
  <c r="M53" i="12"/>
  <c r="Q53" i="12"/>
  <c r="U53" i="12"/>
  <c r="Y53" i="12"/>
  <c r="AB77" i="11"/>
  <c r="F77" i="11"/>
  <c r="L53" i="12"/>
  <c r="P53" i="12"/>
  <c r="E77" i="11"/>
  <c r="Q76" i="6"/>
  <c r="E75" i="6"/>
  <c r="G76" i="4"/>
  <c r="E7" i="15"/>
  <c r="G52" i="5"/>
  <c r="M52" i="2"/>
  <c r="L76" i="1"/>
  <c r="F7" i="13"/>
  <c r="N52" i="7"/>
  <c r="L76" i="6"/>
  <c r="R76" i="6"/>
  <c r="Q52" i="7"/>
  <c r="K76" i="6"/>
  <c r="N76" i="6"/>
  <c r="U52" i="7"/>
  <c r="E52" i="7"/>
  <c r="M76" i="6"/>
  <c r="L75" i="4"/>
  <c r="L76" i="4" s="1"/>
  <c r="K75" i="4"/>
  <c r="I75" i="4"/>
  <c r="F75" i="4"/>
  <c r="H75" i="4"/>
  <c r="E75" i="4"/>
  <c r="K76" i="1"/>
  <c r="F7" i="14"/>
  <c r="G51" i="7"/>
  <c r="I51" i="7"/>
  <c r="I52" i="7" s="1"/>
  <c r="H51" i="7"/>
  <c r="D6" i="14"/>
  <c r="H75" i="6"/>
  <c r="F75" i="6"/>
  <c r="F76" i="6" s="1"/>
  <c r="E51" i="10"/>
  <c r="F51" i="10"/>
  <c r="G51" i="10"/>
  <c r="H51" i="10"/>
  <c r="H52" i="10" s="1"/>
  <c r="Y51" i="10"/>
  <c r="Z51" i="10"/>
  <c r="AA51" i="10"/>
  <c r="AB51" i="10"/>
  <c r="AC51" i="10"/>
  <c r="AD51" i="10"/>
  <c r="AE51" i="10"/>
  <c r="AF51" i="10"/>
  <c r="AG51" i="10"/>
  <c r="AG52" i="10" s="1"/>
  <c r="AH51" i="10"/>
  <c r="AH52" i="10" s="1"/>
  <c r="AI51" i="10"/>
  <c r="AI52" i="10" s="1"/>
  <c r="AJ51" i="10"/>
  <c r="AK51" i="10"/>
  <c r="AL51" i="10"/>
  <c r="AM51" i="10"/>
  <c r="AM52" i="10" s="1"/>
  <c r="AN51" i="10"/>
  <c r="AN52" i="10" s="1"/>
  <c r="AO51" i="10"/>
  <c r="AO52" i="10" s="1"/>
  <c r="AP51" i="10"/>
  <c r="AP52" i="10" s="1"/>
  <c r="AQ51" i="10"/>
  <c r="AQ52" i="10" s="1"/>
  <c r="AR51" i="10"/>
  <c r="AR52" i="10" s="1"/>
  <c r="N75" i="9"/>
  <c r="O75" i="9"/>
  <c r="P75" i="9"/>
  <c r="Q75" i="9"/>
  <c r="R75" i="9"/>
  <c r="S75" i="9"/>
  <c r="T75" i="9"/>
  <c r="AS75" i="9"/>
  <c r="AS76" i="9" s="1"/>
  <c r="AT75" i="9"/>
  <c r="AT76" i="9" s="1"/>
  <c r="AU75" i="9"/>
  <c r="AU76" i="9" s="1"/>
  <c r="AV75" i="9"/>
  <c r="AV76" i="9" s="1"/>
  <c r="AW75" i="9"/>
  <c r="AW76" i="9" s="1"/>
  <c r="AX75" i="9"/>
  <c r="AX76" i="9" s="1"/>
  <c r="AI75" i="9"/>
  <c r="AI76" i="9" s="1"/>
  <c r="AJ75" i="9"/>
  <c r="AJ76" i="9" s="1"/>
  <c r="AK75" i="9"/>
  <c r="AL75" i="9"/>
  <c r="AM75" i="9"/>
  <c r="AN75" i="9"/>
  <c r="AN76" i="9" s="1"/>
  <c r="AO75" i="9"/>
  <c r="AP75" i="9"/>
  <c r="AP76" i="9" s="1"/>
  <c r="AQ75" i="9"/>
  <c r="AQ76" i="9" s="1"/>
  <c r="AR75" i="9"/>
  <c r="AR76" i="9" s="1"/>
  <c r="AF75" i="9"/>
  <c r="AG75" i="9"/>
  <c r="AG76" i="9" s="1"/>
  <c r="AH75" i="9"/>
  <c r="AH76" i="9" s="1"/>
  <c r="AE75" i="9"/>
  <c r="AE76" i="9" s="1"/>
  <c r="Y75" i="9"/>
  <c r="Z75" i="9"/>
  <c r="AA75" i="9"/>
  <c r="AB75" i="9"/>
  <c r="AC75" i="9"/>
  <c r="AD75" i="9"/>
  <c r="I51" i="10"/>
  <c r="I52" i="10" s="1"/>
  <c r="J51" i="10"/>
  <c r="K51" i="10"/>
  <c r="L51" i="10"/>
  <c r="M51" i="10"/>
  <c r="N51" i="10"/>
  <c r="O51" i="10"/>
  <c r="P51" i="10"/>
  <c r="Q51" i="10"/>
  <c r="R51" i="10"/>
  <c r="S51" i="10"/>
  <c r="T51" i="10"/>
  <c r="U51" i="10"/>
  <c r="V51" i="10"/>
  <c r="W51" i="10"/>
  <c r="X51" i="10"/>
  <c r="D51" i="10"/>
  <c r="D75" i="9"/>
  <c r="D75" i="4"/>
  <c r="W75" i="9"/>
  <c r="X75" i="9"/>
  <c r="U75" i="9"/>
  <c r="V75" i="9"/>
  <c r="E75" i="9"/>
  <c r="E52" i="10" s="1"/>
  <c r="F75" i="9"/>
  <c r="F52" i="10" s="1"/>
  <c r="G75" i="9"/>
  <c r="G52" i="10" s="1"/>
  <c r="H75" i="9"/>
  <c r="H76" i="9" s="1"/>
  <c r="I75" i="9"/>
  <c r="I76" i="9" s="1"/>
  <c r="J75" i="9"/>
  <c r="K75" i="9"/>
  <c r="L75" i="9"/>
  <c r="M75" i="9"/>
  <c r="O52" i="2" l="1"/>
  <c r="E76" i="6"/>
  <c r="E7" i="14"/>
  <c r="V52" i="10"/>
  <c r="V76" i="9"/>
  <c r="AC52" i="10"/>
  <c r="AC76" i="9"/>
  <c r="Y52" i="10"/>
  <c r="Y76" i="9"/>
  <c r="AE52" i="10"/>
  <c r="AF76" i="9"/>
  <c r="AL52" i="10"/>
  <c r="AO76" i="9"/>
  <c r="AF52" i="10"/>
  <c r="AK76" i="9"/>
  <c r="W76" i="9"/>
  <c r="W52" i="10"/>
  <c r="AD52" i="10"/>
  <c r="AD76" i="9"/>
  <c r="Z52" i="10"/>
  <c r="Z76" i="9"/>
  <c r="AL76" i="9"/>
  <c r="AJ52" i="10"/>
  <c r="U76" i="9"/>
  <c r="U52" i="10"/>
  <c r="AB76" i="9"/>
  <c r="AB52" i="10"/>
  <c r="X76" i="9"/>
  <c r="X52" i="10"/>
  <c r="AA76" i="9"/>
  <c r="AA52" i="10"/>
  <c r="AM76" i="9"/>
  <c r="AK52" i="10"/>
  <c r="I52" i="5"/>
  <c r="H76" i="4"/>
  <c r="E52" i="5"/>
  <c r="E76" i="4"/>
  <c r="L52" i="5"/>
  <c r="K76" i="4"/>
  <c r="J52" i="5"/>
  <c r="I76" i="4"/>
  <c r="F52" i="5"/>
  <c r="F76" i="4"/>
  <c r="H76" i="6"/>
  <c r="G52" i="7"/>
  <c r="M52" i="10"/>
  <c r="M76" i="9"/>
  <c r="K52" i="10"/>
  <c r="K76" i="9"/>
  <c r="T76" i="9"/>
  <c r="T52" i="10"/>
  <c r="P76" i="9"/>
  <c r="P52" i="10"/>
  <c r="Q76" i="9"/>
  <c r="Q52" i="10"/>
  <c r="N52" i="10"/>
  <c r="N76" i="9"/>
  <c r="L52" i="10"/>
  <c r="L76" i="9"/>
  <c r="J52" i="10"/>
  <c r="J76" i="9"/>
  <c r="O52" i="10"/>
  <c r="O76" i="9"/>
  <c r="G76" i="9"/>
  <c r="F76" i="9"/>
  <c r="E76" i="9"/>
  <c r="I75" i="1"/>
  <c r="E75" i="1"/>
  <c r="E76" i="1" s="1"/>
  <c r="G75" i="1"/>
  <c r="J75" i="1"/>
  <c r="J76" i="1" s="1"/>
  <c r="F75" i="1"/>
  <c r="F76" i="1" s="1"/>
  <c r="H75" i="1"/>
  <c r="K52" i="2" l="1"/>
  <c r="H76" i="1"/>
  <c r="G52" i="2"/>
  <c r="G76" i="1"/>
  <c r="L52" i="2"/>
  <c r="I76" i="1"/>
  <c r="E7" i="13"/>
  <c r="R52" i="10"/>
  <c r="S52" i="10"/>
  <c r="S76" i="9"/>
  <c r="R76" i="9"/>
  <c r="D75" i="1"/>
  <c r="D51" i="2"/>
  <c r="D6" i="13"/>
  <c r="D8" i="16" l="1"/>
  <c r="D52" i="5"/>
  <c r="D52" i="7"/>
  <c r="D52" i="10"/>
  <c r="D7" i="14"/>
  <c r="D76" i="4"/>
  <c r="D76" i="6"/>
  <c r="D7" i="15"/>
  <c r="D76" i="9"/>
  <c r="D76" i="1"/>
  <c r="D7" i="13"/>
  <c r="D52" i="2"/>
  <c r="I75" i="6"/>
  <c r="S75" i="6"/>
  <c r="S76" i="6" s="1"/>
  <c r="T75" i="6"/>
  <c r="D53" i="12" l="1"/>
  <c r="D77" i="11"/>
  <c r="T76" i="6"/>
  <c r="W52" i="7"/>
  <c r="H52" i="7"/>
  <c r="I76" i="6"/>
  <c r="G75" i="6"/>
  <c r="J75" i="6"/>
  <c r="F52" i="7" l="1"/>
  <c r="G76" i="6"/>
  <c r="J76" i="6"/>
</calcChain>
</file>

<file path=xl/sharedStrings.xml><?xml version="1.0" encoding="utf-8"?>
<sst xmlns="http://schemas.openxmlformats.org/spreadsheetml/2006/main" count="1215" uniqueCount="369">
  <si>
    <t>KOPĀ 2. STĀVĀ:</t>
  </si>
  <si>
    <t>KOPĀ 1. STĀVĀ:</t>
  </si>
  <si>
    <r>
      <t>Grīdas ieseguma materiāli, m</t>
    </r>
    <r>
      <rPr>
        <b/>
        <vertAlign val="superscript"/>
        <sz val="12"/>
        <color theme="1"/>
        <rFont val="Times New Roman"/>
        <family val="1"/>
        <charset val="186"/>
      </rPr>
      <t>2</t>
    </r>
  </si>
  <si>
    <t>Telpa</t>
  </si>
  <si>
    <r>
      <t>Platība, m</t>
    </r>
    <r>
      <rPr>
        <vertAlign val="superscript"/>
        <sz val="12"/>
        <color theme="1"/>
        <rFont val="Times New Roman"/>
        <family val="1"/>
        <charset val="186"/>
      </rPr>
      <t>2</t>
    </r>
  </si>
  <si>
    <t>Nr.</t>
  </si>
  <si>
    <t>Grupu mēbeles</t>
  </si>
  <si>
    <t>Santehnika</t>
  </si>
  <si>
    <t>Vējtveris</t>
  </si>
  <si>
    <t>Vestibils</t>
  </si>
  <si>
    <t>Zāle</t>
  </si>
  <si>
    <t>Kāpņu telpa</t>
  </si>
  <si>
    <t>Palīgtelpa</t>
  </si>
  <si>
    <t>Sarga telpa</t>
  </si>
  <si>
    <t>Vadītājas kabinets</t>
  </si>
  <si>
    <t>Lietvedība</t>
  </si>
  <si>
    <t>Gaitenis</t>
  </si>
  <si>
    <t>WC</t>
  </si>
  <si>
    <t>Elektrosadale</t>
  </si>
  <si>
    <t>Medpunkts</t>
  </si>
  <si>
    <t>Izolators</t>
  </si>
  <si>
    <t>Sanmezgls</t>
  </si>
  <si>
    <t>Ģērbtuve</t>
  </si>
  <si>
    <t>Dušas telpa</t>
  </si>
  <si>
    <t>Apkopēja telpa</t>
  </si>
  <si>
    <t>Sanmezgls Nr.1</t>
  </si>
  <si>
    <t>Guļamtelpa Nr.1</t>
  </si>
  <si>
    <t>Grupas telpa Nr.1</t>
  </si>
  <si>
    <t>Ģērbtuve ar žāv.skapi Nr.1</t>
  </si>
  <si>
    <t>Guļamtelpa Nr.2</t>
  </si>
  <si>
    <t>Grupas telpa Nr.2</t>
  </si>
  <si>
    <t>Ģērbtuve ar žāv.skapi Nr.2</t>
  </si>
  <si>
    <t>Vējtveris Nr.2</t>
  </si>
  <si>
    <t>Sanmezgls Nr.2/3</t>
  </si>
  <si>
    <t>Vējtveris Nr.3</t>
  </si>
  <si>
    <t>Ģērbtuve ar žāv.skapi Nr.3</t>
  </si>
  <si>
    <t>Guļamtelpa Nr.3</t>
  </si>
  <si>
    <t>Grupas telpa Nr.3</t>
  </si>
  <si>
    <t>Guļamtelpa Nr.4</t>
  </si>
  <si>
    <t>Grupas telpa Nr.4</t>
  </si>
  <si>
    <t>Ģērbtuve ar žāv.skapi Nr.4</t>
  </si>
  <si>
    <t>Vējtveris Nr.4</t>
  </si>
  <si>
    <t>Sanmezgls Nr.4/5</t>
  </si>
  <si>
    <t>Vējtveris Nr.5</t>
  </si>
  <si>
    <t>Ģērbtuve ar žāv.skapi Nr.5</t>
  </si>
  <si>
    <t>Grupas telpa Nr.5</t>
  </si>
  <si>
    <t>Guļamtelpa Nr.5</t>
  </si>
  <si>
    <t>Grupas telpa Nr.6</t>
  </si>
  <si>
    <t>Ģērbtuve ar žāv.skapi Nr.6</t>
  </si>
  <si>
    <t>Guļamtelpa Nr.6</t>
  </si>
  <si>
    <t>Sanmezgls Nr.6</t>
  </si>
  <si>
    <t>Netīrās veļas noliktava</t>
  </si>
  <si>
    <t>Tīrās veļas noliktava</t>
  </si>
  <si>
    <t>Veļas mazgātava</t>
  </si>
  <si>
    <t>Virtuves vadītāja telpa</t>
  </si>
  <si>
    <t xml:space="preserve">Duša </t>
  </si>
  <si>
    <t>Sakņu noliktava, pirmapstrāde</t>
  </si>
  <si>
    <t>Vieta aukstumkamerai</t>
  </si>
  <si>
    <t>Sauso produktu noliktava</t>
  </si>
  <si>
    <t>Gaļas apstrāde, aukstā nol.</t>
  </si>
  <si>
    <t>Virtuves trauku mazgātava</t>
  </si>
  <si>
    <t>Trauku mazgātava</t>
  </si>
  <si>
    <t>Ēdamzāle</t>
  </si>
  <si>
    <t>Lifta šahta</t>
  </si>
  <si>
    <t>Mūzikas telpa</t>
  </si>
  <si>
    <t>Ventilācijas telpa</t>
  </si>
  <si>
    <t>Atpūtas telpa</t>
  </si>
  <si>
    <t>Gaismas kabata</t>
  </si>
  <si>
    <t>Sanmezgls Nr.7</t>
  </si>
  <si>
    <t>Guļamtelpa Nr.7</t>
  </si>
  <si>
    <t>Grupas telpa Nr.7</t>
  </si>
  <si>
    <t>Ģērbtuve ar žāv. Skapi Nr.7</t>
  </si>
  <si>
    <t>Guļamtelpa Nr.8</t>
  </si>
  <si>
    <t>Grupas telpa Nr.8</t>
  </si>
  <si>
    <t>Ģērbtuve ar žāv. skapi Nr.8</t>
  </si>
  <si>
    <t>Sanmezgls Nr.8/9</t>
  </si>
  <si>
    <t>Ģērbtuve ar žāv. skapi Nr.9</t>
  </si>
  <si>
    <t>Guļamtelpa Nr.9</t>
  </si>
  <si>
    <t>Grupas telpa Nr.9</t>
  </si>
  <si>
    <t>Guļamtelpa Nr.10</t>
  </si>
  <si>
    <t>Grupas telpa Nr.10</t>
  </si>
  <si>
    <t>Ģērbtuve ar žāv. skapi Nr.10</t>
  </si>
  <si>
    <t>Sanmezgls Nr.10/11</t>
  </si>
  <si>
    <t>Ģērbtuve ar žāv. skapi Nr.11</t>
  </si>
  <si>
    <t>Grupas telpa Nr.11</t>
  </si>
  <si>
    <t>Guļamtelpa Nr.11</t>
  </si>
  <si>
    <t>Ģērbtuve ar žāv. skapi Nr.12</t>
  </si>
  <si>
    <t>Grupas telpa Nr.12</t>
  </si>
  <si>
    <t>Guļamtelpa Nr.12</t>
  </si>
  <si>
    <t>Sanmezgls Nr.12</t>
  </si>
  <si>
    <t>Psihologs / logopēds</t>
  </si>
  <si>
    <t>Metodiķa kabinets</t>
  </si>
  <si>
    <t>Arhīvs</t>
  </si>
  <si>
    <t>Sporta zāle</t>
  </si>
  <si>
    <t>Kabinets</t>
  </si>
  <si>
    <t>Apkures telpa</t>
  </si>
  <si>
    <t>VISOS STĀVOS KOPĀ:</t>
  </si>
  <si>
    <r>
      <rPr>
        <b/>
        <sz val="12"/>
        <rFont val="Times New Roman"/>
        <family val="1"/>
        <charset val="186"/>
      </rPr>
      <t xml:space="preserve">Kājslauķis, </t>
    </r>
    <r>
      <rPr>
        <sz val="12"/>
        <rFont val="Times New Roman"/>
        <family val="1"/>
        <charset val="186"/>
      </rPr>
      <t>coral welcome, volcano, 3206 (Forbo)</t>
    </r>
  </si>
  <si>
    <t>Rožu iela 35, Mārupe, Mārupes novads</t>
  </si>
  <si>
    <r>
      <rPr>
        <b/>
        <i/>
        <sz val="12"/>
        <rFont val="Times New Roman"/>
        <family val="1"/>
        <charset val="186"/>
      </rPr>
      <t xml:space="preserve">Pasutītājs: </t>
    </r>
    <r>
      <rPr>
        <i/>
        <sz val="12"/>
        <rFont val="Times New Roman"/>
        <family val="1"/>
        <charset val="186"/>
      </rPr>
      <t>Mārupes novada Dome</t>
    </r>
  </si>
  <si>
    <r>
      <rPr>
        <b/>
        <i/>
        <sz val="12"/>
        <rFont val="Times New Roman"/>
        <family val="1"/>
        <charset val="186"/>
      </rPr>
      <t xml:space="preserve">Objekts: </t>
    </r>
    <r>
      <rPr>
        <i/>
        <sz val="12"/>
        <rFont val="Times New Roman"/>
        <family val="1"/>
        <charset val="186"/>
      </rPr>
      <t>Pirmsskolas izglītības iestādes tehniskā projekta piesaiste</t>
    </r>
  </si>
  <si>
    <r>
      <rPr>
        <b/>
        <i/>
        <sz val="12"/>
        <rFont val="Times New Roman"/>
        <family val="1"/>
        <charset val="186"/>
      </rPr>
      <t>Projektētājs:</t>
    </r>
    <r>
      <rPr>
        <i/>
        <sz val="12"/>
        <rFont val="Times New Roman"/>
        <family val="1"/>
        <charset val="186"/>
      </rPr>
      <t xml:space="preserve"> SIA" AR.4"</t>
    </r>
  </si>
  <si>
    <t>arhitekts            Ieva Spriņģe</t>
  </si>
  <si>
    <t>proj.vad.           Andris Vītols</t>
  </si>
  <si>
    <t>* 171.telpā izvietoti rezerves krēsli</t>
  </si>
  <si>
    <t>Grupu / kabinetu mēbeles</t>
  </si>
  <si>
    <t>Guļamtelpas</t>
  </si>
  <si>
    <t>Ģērbtuves</t>
  </si>
  <si>
    <t>Kabineti</t>
  </si>
  <si>
    <t>Kabineti, palīgtelpas, zāle</t>
  </si>
  <si>
    <t>Sanmezglu mēbeles</t>
  </si>
  <si>
    <t>2*</t>
  </si>
  <si>
    <t>7*</t>
  </si>
  <si>
    <t>KOPĀ 3. STĀVĀ:</t>
  </si>
  <si>
    <t>Ārtelpas, fasāde</t>
  </si>
  <si>
    <t>int. dizainere    Rita Soliženko</t>
  </si>
  <si>
    <t>Gaismekļi, gab</t>
  </si>
  <si>
    <r>
      <rPr>
        <b/>
        <sz val="12"/>
        <color theme="1"/>
        <rFont val="Times New Roman"/>
        <family val="1"/>
        <charset val="186"/>
      </rPr>
      <t>Grīdlīste</t>
    </r>
    <r>
      <rPr>
        <sz val="12"/>
        <color theme="1"/>
        <rFont val="Times New Roman"/>
        <family val="1"/>
        <charset val="186"/>
      </rPr>
      <t>, krāsots MDF, 16x70 mm, tonis- S0580-Y60R, t.m</t>
    </r>
  </si>
  <si>
    <t>int. dizainere     Rita Soliženko</t>
  </si>
  <si>
    <t>proj.vad.            Andris Vītols</t>
  </si>
  <si>
    <r>
      <rPr>
        <b/>
        <sz val="12"/>
        <rFont val="Times New Roman"/>
        <family val="1"/>
        <charset val="186"/>
      </rPr>
      <t>Izlīdzinošā kārta, flīžu līme, flīzes</t>
    </r>
    <r>
      <rPr>
        <sz val="12"/>
        <rFont val="Times New Roman"/>
        <family val="1"/>
        <charset val="186"/>
      </rPr>
      <t>,Taurus color 06 S Light Grey, TAA61006, 598 x 598 x 10 mm, R9 m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 xml:space="preserve"> </t>
    </r>
  </si>
  <si>
    <r>
      <rPr>
        <b/>
        <sz val="12"/>
        <rFont val="Times New Roman"/>
        <family val="1"/>
        <charset val="186"/>
      </rPr>
      <t>Izlīdzinošā kārta, flīžu līme, flīzes</t>
    </r>
    <r>
      <rPr>
        <sz val="12"/>
        <rFont val="Times New Roman"/>
        <family val="1"/>
        <charset val="186"/>
      </rPr>
      <t>,Taurus color 06 S Light Grey, TAA61006, 298 x 298 x 9 mm, R9 m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 xml:space="preserve"> </t>
    </r>
  </si>
  <si>
    <r>
      <rPr>
        <b/>
        <sz val="12"/>
        <color theme="1"/>
        <rFont val="Times New Roman"/>
        <family val="1"/>
        <charset val="186"/>
      </rPr>
      <t>Nerūsējošā tērauda grīdlīste</t>
    </r>
    <r>
      <rPr>
        <sz val="12"/>
        <color theme="1"/>
        <rFont val="Times New Roman"/>
        <family val="1"/>
        <charset val="186"/>
      </rPr>
      <t xml:space="preserve"> ap kolonnām, h=120 mm, m</t>
    </r>
  </si>
  <si>
    <t>Grīdlīstes, m</t>
  </si>
  <si>
    <r>
      <rPr>
        <b/>
        <sz val="12"/>
        <rFont val="Times New Roman"/>
        <family val="1"/>
        <charset val="186"/>
      </rPr>
      <t xml:space="preserve">Izlīdzinošā kārta, špaktelēšana, sienu krāsojums </t>
    </r>
    <r>
      <rPr>
        <sz val="12"/>
        <rFont val="Times New Roman"/>
        <family val="1"/>
        <charset val="186"/>
      </rPr>
      <t>(mūra sienas), tonis- Y487 Piazza (Tikkurila), m</t>
    </r>
    <r>
      <rPr>
        <vertAlign val="superscript"/>
        <sz val="12"/>
        <rFont val="Times New Roman"/>
        <family val="1"/>
        <charset val="186"/>
      </rPr>
      <t>2</t>
    </r>
  </si>
  <si>
    <r>
      <rPr>
        <b/>
        <sz val="12"/>
        <rFont val="Times New Roman"/>
        <family val="1"/>
        <charset val="186"/>
      </rPr>
      <t xml:space="preserve">Izlīdzinošā kārta, špaktelēšana, sienu krāsojums </t>
    </r>
    <r>
      <rPr>
        <sz val="12"/>
        <rFont val="Times New Roman"/>
        <family val="1"/>
        <charset val="186"/>
      </rPr>
      <t>(ģipškartona sienas), tonis- Y487 Piazza (Tikkurila), m</t>
    </r>
    <r>
      <rPr>
        <vertAlign val="superscript"/>
        <sz val="12"/>
        <rFont val="Times New Roman"/>
        <family val="1"/>
        <charset val="186"/>
      </rPr>
      <t>2</t>
    </r>
  </si>
  <si>
    <r>
      <rPr>
        <b/>
        <sz val="12"/>
        <color theme="1"/>
        <rFont val="Times New Roman"/>
        <family val="1"/>
        <charset val="186"/>
      </rPr>
      <t>Flīžu grīdlīste</t>
    </r>
    <r>
      <rPr>
        <sz val="12"/>
        <color theme="1"/>
        <rFont val="Times New Roman"/>
        <family val="1"/>
        <charset val="186"/>
      </rPr>
      <t>, h=150 mm, (puse no flīzes Taurus color 06 S Light Grey 298 x 298 x 9 mm), (RAKO)</t>
    </r>
  </si>
  <si>
    <t>Sporta</t>
  </si>
  <si>
    <r>
      <rPr>
        <b/>
        <sz val="12"/>
        <rFont val="Times New Roman"/>
        <family val="1"/>
        <charset val="186"/>
      </rPr>
      <t xml:space="preserve">Izlīdzinošā kārta, flīžu līme, flīzes </t>
    </r>
    <r>
      <rPr>
        <sz val="12"/>
        <rFont val="Times New Roman"/>
        <family val="1"/>
        <charset val="186"/>
      </rPr>
      <t>Color one WAA1N000, balta, 198 x 198 x 6.5 mm, (RAKO), m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 xml:space="preserve">
</t>
    </r>
  </si>
  <si>
    <r>
      <rPr>
        <b/>
        <sz val="12"/>
        <color theme="1"/>
        <rFont val="Times New Roman"/>
        <family val="1"/>
        <charset val="186"/>
      </rPr>
      <t>Izlietne</t>
    </r>
    <r>
      <rPr>
        <sz val="12"/>
        <color theme="1"/>
        <rFont val="Times New Roman"/>
        <family val="1"/>
        <charset val="186"/>
      </rPr>
      <t xml:space="preserve"> (pieaugušo)
D-Code, 45x34 cm, ar puskāju (Duravit)</t>
    </r>
  </si>
  <si>
    <t xml:space="preserve"> </t>
  </si>
  <si>
    <r>
      <rPr>
        <b/>
        <sz val="12"/>
        <color theme="1"/>
        <rFont val="Times New Roman"/>
        <family val="1"/>
        <charset val="186"/>
      </rPr>
      <t xml:space="preserve">Jaucējkrāns izlietnei, </t>
    </r>
    <r>
      <rPr>
        <sz val="12"/>
        <color theme="1"/>
        <rFont val="Times New Roman"/>
        <family val="1"/>
        <charset val="186"/>
      </rPr>
      <t>BauEdge (GROHE)</t>
    </r>
  </si>
  <si>
    <t>Spoguļi</t>
  </si>
  <si>
    <t>Fasāde</t>
  </si>
  <si>
    <r>
      <rPr>
        <b/>
        <sz val="12"/>
        <rFont val="Times New Roman"/>
        <family val="1"/>
        <charset val="186"/>
      </rPr>
      <t xml:space="preserve">Linolejs, </t>
    </r>
    <r>
      <rPr>
        <sz val="12"/>
        <rFont val="Times New Roman"/>
        <family val="1"/>
        <charset val="186"/>
      </rPr>
      <t>Marmoleum concrete, Orange shimmer 3712 (Forbo), m</t>
    </r>
    <r>
      <rPr>
        <vertAlign val="superscript"/>
        <sz val="12"/>
        <rFont val="Times New Roman"/>
        <family val="1"/>
        <charset val="186"/>
      </rPr>
      <t>2</t>
    </r>
  </si>
  <si>
    <r>
      <rPr>
        <b/>
        <sz val="12"/>
        <rFont val="Times New Roman"/>
        <family val="1"/>
        <charset val="186"/>
      </rPr>
      <t xml:space="preserve">Linolejs, </t>
    </r>
    <r>
      <rPr>
        <sz val="12"/>
        <rFont val="Times New Roman"/>
        <family val="1"/>
        <charset val="186"/>
      </rPr>
      <t>Marmoleum Fresco spring buds 3885 (Forbo), m</t>
    </r>
    <r>
      <rPr>
        <vertAlign val="superscript"/>
        <sz val="12"/>
        <rFont val="Times New Roman"/>
        <family val="1"/>
        <charset val="186"/>
      </rPr>
      <t>2</t>
    </r>
  </si>
  <si>
    <r>
      <rPr>
        <b/>
        <sz val="12"/>
        <rFont val="Times New Roman"/>
        <family val="1"/>
        <charset val="186"/>
      </rPr>
      <t xml:space="preserve">Linolejs, </t>
    </r>
    <r>
      <rPr>
        <sz val="12"/>
        <rFont val="Times New Roman"/>
        <family val="1"/>
        <charset val="186"/>
      </rPr>
      <t>Sarlon Topography white, 433910  (Forbo), m</t>
    </r>
    <r>
      <rPr>
        <vertAlign val="superscript"/>
        <sz val="12"/>
        <rFont val="Times New Roman"/>
        <family val="1"/>
        <charset val="186"/>
      </rPr>
      <t>2</t>
    </r>
  </si>
  <si>
    <r>
      <t>Grīdas ieseguma materiāli, m</t>
    </r>
    <r>
      <rPr>
        <b/>
        <vertAlign val="superscript"/>
        <sz val="11"/>
        <color theme="1"/>
        <rFont val="Times New Roman"/>
        <family val="1"/>
        <charset val="186"/>
      </rPr>
      <t>2</t>
    </r>
  </si>
  <si>
    <r>
      <t>Platība, m</t>
    </r>
    <r>
      <rPr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</si>
  <si>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>Linolejs,</t>
    </r>
    <r>
      <rPr>
        <sz val="11"/>
        <rFont val="Times New Roman"/>
        <family val="1"/>
        <charset val="186"/>
      </rPr>
      <t>Marmoleum concrete, Phosphor glow 3715 (Forbo),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</si>
  <si>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>Linolejs,</t>
    </r>
    <r>
      <rPr>
        <sz val="11"/>
        <rFont val="Times New Roman"/>
        <family val="1"/>
        <charset val="186"/>
      </rPr>
      <t>Marmoleum Fresco spring buds 3885 (Forbo),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</si>
  <si>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 xml:space="preserve">Linolejs, </t>
    </r>
    <r>
      <rPr>
        <sz val="11"/>
        <rFont val="Times New Roman"/>
        <family val="1"/>
        <charset val="186"/>
      </rPr>
      <t>Sarlon Topography white, 433910 (Forbo),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</si>
  <si>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 xml:space="preserve">Linolejs, </t>
    </r>
    <r>
      <rPr>
        <sz val="11"/>
        <rFont val="Times New Roman"/>
        <family val="1"/>
        <charset val="186"/>
      </rPr>
      <t>Marmoleum Sport  83878</t>
    </r>
    <r>
      <rPr>
        <sz val="11"/>
        <color rgb="FFFF0000"/>
        <rFont val="Times New Roman"/>
        <family val="1"/>
        <charset val="186"/>
      </rPr>
      <t xml:space="preserve"> </t>
    </r>
    <r>
      <rPr>
        <sz val="11"/>
        <rFont val="Times New Roman"/>
        <family val="1"/>
        <charset val="186"/>
      </rPr>
      <t xml:space="preserve"> (Forbo), 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
</t>
    </r>
  </si>
  <si>
    <r>
      <rPr>
        <b/>
        <sz val="11"/>
        <rFont val="Times New Roman"/>
        <family val="1"/>
        <charset val="186"/>
      </rPr>
      <t xml:space="preserve">Linoleja apakšklājs </t>
    </r>
    <r>
      <rPr>
        <sz val="11"/>
        <rFont val="Times New Roman"/>
        <family val="1"/>
        <charset val="186"/>
      </rPr>
      <t>Regupol 5608,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</si>
  <si>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>Izlīdzinošā kārta, flīžu līme, flīzes</t>
    </r>
    <r>
      <rPr>
        <sz val="11"/>
        <rFont val="Times New Roman"/>
        <family val="1"/>
        <charset val="186"/>
      </rPr>
      <t>,Taurus color 06 S Light Grey, TAA61006, 598 x 598 x 10 mm, R9 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</t>
    </r>
  </si>
  <si>
    <r>
      <rPr>
        <b/>
        <sz val="11"/>
        <rFont val="Times New Roman"/>
        <family val="1"/>
        <charset val="186"/>
      </rPr>
      <t>Izlīdzinošā kārta, flīžu līme, flīzes</t>
    </r>
    <r>
      <rPr>
        <sz val="11"/>
        <rFont val="Times New Roman"/>
        <family val="1"/>
        <charset val="186"/>
      </rPr>
      <t>,Taurus color 06 S Light Grey, TAA61006, 298 x 298 x 9 mm, R9 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 </t>
    </r>
  </si>
  <si>
    <r>
      <rPr>
        <b/>
        <sz val="11"/>
        <rFont val="Times New Roman"/>
        <family val="1"/>
        <charset val="186"/>
      </rPr>
      <t>Grīdlīste</t>
    </r>
    <r>
      <rPr>
        <sz val="11"/>
        <rFont val="Times New Roman"/>
        <family val="1"/>
        <charset val="186"/>
      </rPr>
      <t>, krāsots MDF,16x70 mm, tonis- S1060-G70Y,  t.m</t>
    </r>
  </si>
  <si>
    <r>
      <rPr>
        <b/>
        <sz val="11"/>
        <color theme="1"/>
        <rFont val="Times New Roman"/>
        <family val="1"/>
        <charset val="186"/>
      </rPr>
      <t>Flīžu grīdlīste</t>
    </r>
    <r>
      <rPr>
        <sz val="11"/>
        <color theme="1"/>
        <rFont val="Times New Roman"/>
        <family val="1"/>
        <charset val="186"/>
      </rPr>
      <t>, h=150 mm, (puse no flīzes Taurus color 06 S Light Grey 298 x 298 x 9 mm), (RAKO)</t>
    </r>
  </si>
  <si>
    <r>
      <rPr>
        <b/>
        <sz val="11"/>
        <color theme="1"/>
        <rFont val="Times New Roman"/>
        <family val="1"/>
        <charset val="186"/>
      </rPr>
      <t>Nerūsējošā tērauda grīdlīste</t>
    </r>
    <r>
      <rPr>
        <sz val="11"/>
        <color theme="1"/>
        <rFont val="Times New Roman"/>
        <family val="1"/>
        <charset val="186"/>
      </rPr>
      <t xml:space="preserve"> ap kolonnām, h=120 mm, m</t>
    </r>
  </si>
  <si>
    <r>
      <rPr>
        <b/>
        <i/>
        <sz val="11"/>
        <rFont val="Times New Roman"/>
        <family val="1"/>
        <charset val="186"/>
      </rPr>
      <t xml:space="preserve">Pasutītājs: </t>
    </r>
    <r>
      <rPr>
        <i/>
        <sz val="11"/>
        <rFont val="Times New Roman"/>
        <family val="1"/>
        <charset val="186"/>
      </rPr>
      <t>Mārupes novada Dome</t>
    </r>
  </si>
  <si>
    <r>
      <rPr>
        <b/>
        <i/>
        <sz val="11"/>
        <rFont val="Times New Roman"/>
        <family val="1"/>
        <charset val="186"/>
      </rPr>
      <t>Projektētājs:</t>
    </r>
    <r>
      <rPr>
        <i/>
        <sz val="11"/>
        <rFont val="Times New Roman"/>
        <family val="1"/>
        <charset val="186"/>
      </rPr>
      <t xml:space="preserve"> SIA" AR.4"</t>
    </r>
  </si>
  <si>
    <r>
      <rPr>
        <b/>
        <i/>
        <sz val="11"/>
        <rFont val="Times New Roman"/>
        <family val="1"/>
        <charset val="186"/>
      </rPr>
      <t xml:space="preserve">Objekts: </t>
    </r>
    <r>
      <rPr>
        <i/>
        <sz val="11"/>
        <rFont val="Times New Roman"/>
        <family val="1"/>
        <charset val="186"/>
      </rPr>
      <t>Pirmsskolas izglītības iestādes tehniskā projekta piesaiste</t>
    </r>
  </si>
  <si>
    <r>
      <rPr>
        <b/>
        <sz val="11"/>
        <rFont val="Times New Roman"/>
        <family val="1"/>
        <charset val="186"/>
      </rPr>
      <t xml:space="preserve">Linolejs, </t>
    </r>
    <r>
      <rPr>
        <sz val="11"/>
        <rFont val="Times New Roman"/>
        <family val="1"/>
        <charset val="186"/>
      </rPr>
      <t>Marmoleum Sport  83120 (Forbo), m</t>
    </r>
    <r>
      <rPr>
        <vertAlign val="superscript"/>
        <sz val="11"/>
        <rFont val="Times New Roman"/>
        <family val="1"/>
        <charset val="186"/>
      </rPr>
      <t>2</t>
    </r>
  </si>
  <si>
    <r>
      <t>Grīdas, m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</si>
  <si>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r>
      <t>Platība, m</t>
    </r>
    <r>
      <rPr>
        <vertAlign val="superscript"/>
        <sz val="10"/>
        <color theme="1"/>
        <rFont val="Times New Roman"/>
        <family val="1"/>
        <charset val="186"/>
      </rPr>
      <t>2</t>
    </r>
  </si>
  <si>
    <r>
      <rPr>
        <b/>
        <sz val="10"/>
        <rFont val="Times New Roman"/>
        <family val="1"/>
        <charset val="186"/>
      </rPr>
      <t>Izlīdzinošā kārta, flīžu līme, flīzes</t>
    </r>
    <r>
      <rPr>
        <sz val="10"/>
        <rFont val="Times New Roman"/>
        <family val="1"/>
        <charset val="186"/>
      </rPr>
      <t>,Taurus color 06 S Light Grey, TAA61006, 298 x 298 x 9 mm, R9 m</t>
    </r>
    <r>
      <rPr>
        <vertAlign val="superscript"/>
        <sz val="10"/>
        <rFont val="Times New Roman"/>
        <family val="1"/>
        <charset val="186"/>
      </rPr>
      <t>2</t>
    </r>
    <r>
      <rPr>
        <sz val="10"/>
        <rFont val="Times New Roman"/>
        <family val="1"/>
        <charset val="186"/>
      </rPr>
      <t xml:space="preserve"> </t>
    </r>
  </si>
  <si>
    <r>
      <rPr>
        <b/>
        <sz val="10"/>
        <color theme="1"/>
        <rFont val="Times New Roman"/>
        <family val="1"/>
        <charset val="186"/>
      </rPr>
      <t>Flīžu grīdlīste</t>
    </r>
    <r>
      <rPr>
        <sz val="10"/>
        <color theme="1"/>
        <rFont val="Times New Roman"/>
        <family val="1"/>
        <charset val="186"/>
      </rPr>
      <t>, h=150 mm, (puse no flīzes Taurus color 06 S Light Grey 298 x 298 x 9 mm), (RAKO), m</t>
    </r>
    <r>
      <rPr>
        <vertAlign val="superscript"/>
        <sz val="10"/>
        <color theme="1"/>
        <rFont val="Times New Roman"/>
        <family val="1"/>
        <charset val="186"/>
      </rPr>
      <t>2</t>
    </r>
  </si>
  <si>
    <r>
      <rPr>
        <b/>
        <i/>
        <sz val="10"/>
        <rFont val="Times New Roman"/>
        <family val="1"/>
        <charset val="186"/>
      </rPr>
      <t xml:space="preserve">Pasutītājs: </t>
    </r>
    <r>
      <rPr>
        <i/>
        <sz val="10"/>
        <rFont val="Times New Roman"/>
        <family val="1"/>
        <charset val="186"/>
      </rPr>
      <t>Mārupes novada Dome</t>
    </r>
  </si>
  <si>
    <r>
      <rPr>
        <b/>
        <i/>
        <sz val="10"/>
        <rFont val="Times New Roman"/>
        <family val="1"/>
        <charset val="186"/>
      </rPr>
      <t xml:space="preserve">Objekts: </t>
    </r>
    <r>
      <rPr>
        <i/>
        <sz val="10"/>
        <rFont val="Times New Roman"/>
        <family val="1"/>
        <charset val="186"/>
      </rPr>
      <t>Pirmsskolas izglītības iestādes tehniskā projekta piesaiste</t>
    </r>
  </si>
  <si>
    <r>
      <rPr>
        <b/>
        <i/>
        <sz val="10"/>
        <rFont val="Times New Roman"/>
        <family val="1"/>
        <charset val="186"/>
      </rPr>
      <t>Projektētājs:</t>
    </r>
    <r>
      <rPr>
        <i/>
        <sz val="10"/>
        <rFont val="Times New Roman"/>
        <family val="1"/>
        <charset val="186"/>
      </rPr>
      <t xml:space="preserve"> SIA" AR.4"</t>
    </r>
  </si>
  <si>
    <r>
      <t>Sienu apdares materiāli, m</t>
    </r>
    <r>
      <rPr>
        <b/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</si>
  <si>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 xml:space="preserve">Izlīdzinošā kārta, špaktelēšana, sienu krāsojums </t>
    </r>
    <r>
      <rPr>
        <sz val="11"/>
        <rFont val="Times New Roman"/>
        <family val="1"/>
        <charset val="186"/>
      </rPr>
      <t>(mūra sienas), tonis- F485 Damasti (Tikkurila),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</si>
  <si>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 xml:space="preserve">Izlīdzinošā kārta, špaktelēšana, sienu krāsojums </t>
    </r>
    <r>
      <rPr>
        <sz val="11"/>
        <rFont val="Times New Roman"/>
        <family val="1"/>
        <charset val="186"/>
      </rPr>
      <t>(ģipškartona sienas), tonis- F485 Damasti (Tikkurila),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</si>
  <si>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 xml:space="preserve">Izlīdzinošā kārta, špaktelēšana, sienu krāsojums </t>
    </r>
    <r>
      <rPr>
        <sz val="11"/>
        <rFont val="Times New Roman"/>
        <family val="1"/>
        <charset val="186"/>
      </rPr>
      <t>(mūra sienas), tonis- Y487 Piazza (Tikkurila),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</si>
  <si>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 xml:space="preserve">Izlīdzinošā kārta, špaktelēšana, mitrumizturīgs sienu krāsojums </t>
    </r>
    <r>
      <rPr>
        <sz val="11"/>
        <rFont val="Times New Roman"/>
        <family val="1"/>
        <charset val="186"/>
      </rPr>
      <t>(mūra sienas), tonis- balts,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</si>
  <si>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 xml:space="preserve">Izlīdzinošā kārta, špaktelēšana, mitrumizturīgs sienu krāsojums </t>
    </r>
    <r>
      <rPr>
        <sz val="11"/>
        <rFont val="Times New Roman"/>
        <family val="1"/>
        <charset val="186"/>
      </rPr>
      <t>(ģipškartona sienas), tonis- balts,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</si>
  <si>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>Dekoratīvais krāsojums</t>
    </r>
    <r>
      <rPr>
        <sz val="11"/>
        <rFont val="Times New Roman"/>
        <family val="1"/>
        <charset val="186"/>
      </rPr>
      <t>, tonis S0580-Y60R,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</si>
  <si>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>Izlīdzinošā kārta, flīžu līme, flīzes</t>
    </r>
    <r>
      <rPr>
        <sz val="11"/>
        <rFont val="Times New Roman"/>
        <family val="1"/>
        <charset val="186"/>
      </rPr>
      <t xml:space="preserve">
Butterfly white, 2828, 285 x 85 x 9 mm, (Kerama Marazzi),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</si>
  <si>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>Izlīdzinošā kārta, flīžu līme, flīzes</t>
    </r>
    <r>
      <rPr>
        <sz val="11"/>
        <rFont val="Times New Roman"/>
        <family val="1"/>
        <charset val="186"/>
      </rPr>
      <t xml:space="preserve">
Butterfly orange, 2821, 285 x 85 x 9 mm, (Kerama Marazzi), 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
</t>
    </r>
  </si>
  <si>
    <r>
      <rPr>
        <b/>
        <sz val="11"/>
        <rFont val="Times New Roman"/>
        <family val="1"/>
        <charset val="186"/>
      </rPr>
      <t xml:space="preserve">Izlīdzinošā kārta, flīžu līme, flīzes </t>
    </r>
    <r>
      <rPr>
        <sz val="11"/>
        <rFont val="Times New Roman"/>
        <family val="1"/>
        <charset val="186"/>
      </rPr>
      <t>Color one waa1n000, balta, 198 x 198 x 6.5 mm, (RAKO), m</t>
    </r>
    <r>
      <rPr>
        <vertAlign val="superscript"/>
        <sz val="11"/>
        <rFont val="Times New Roman"/>
        <family val="1"/>
        <charset val="186"/>
      </rPr>
      <t>2</t>
    </r>
    <r>
      <rPr>
        <sz val="11"/>
        <rFont val="Times New Roman"/>
        <family val="1"/>
        <charset val="186"/>
      </rPr>
      <t xml:space="preserve">
</t>
    </r>
  </si>
  <si>
    <r>
      <rPr>
        <b/>
        <sz val="11"/>
        <rFont val="Times New Roman"/>
        <family val="1"/>
        <charset val="186"/>
      </rPr>
      <t>Spogulis</t>
    </r>
    <r>
      <rPr>
        <sz val="11"/>
        <rFont val="Times New Roman"/>
        <family val="1"/>
        <charset val="186"/>
      </rPr>
      <t>, 600x 1000 mm, gab</t>
    </r>
  </si>
  <si>
    <r>
      <rPr>
        <b/>
        <sz val="11"/>
        <rFont val="Times New Roman"/>
        <family val="1"/>
        <charset val="186"/>
      </rPr>
      <t>Spogulis, regulējams dažādos leņķos</t>
    </r>
    <r>
      <rPr>
        <sz val="11"/>
        <rFont val="Times New Roman"/>
        <family val="1"/>
        <charset val="186"/>
      </rPr>
      <t>, 600x 1000 mm, gab</t>
    </r>
  </si>
  <si>
    <r>
      <rPr>
        <b/>
        <sz val="11"/>
        <rFont val="Times New Roman"/>
        <family val="1"/>
        <charset val="186"/>
      </rPr>
      <t>Spogulis</t>
    </r>
    <r>
      <rPr>
        <sz val="11"/>
        <rFont val="Times New Roman"/>
        <family val="1"/>
        <charset val="186"/>
      </rPr>
      <t>, 610 x 1750 mm, gab</t>
    </r>
  </si>
  <si>
    <r>
      <rPr>
        <b/>
        <sz val="11"/>
        <rFont val="Times New Roman"/>
        <family val="1"/>
        <charset val="186"/>
      </rPr>
      <t>Spogulis</t>
    </r>
    <r>
      <rPr>
        <sz val="11"/>
        <rFont val="Times New Roman"/>
        <family val="1"/>
        <charset val="186"/>
      </rPr>
      <t>, 610 x 2340mm, gab</t>
    </r>
  </si>
  <si>
    <r>
      <rPr>
        <b/>
        <sz val="11"/>
        <color theme="1"/>
        <rFont val="Times New Roman"/>
        <family val="1"/>
        <charset val="186"/>
      </rPr>
      <t>Lamināta starpsienas</t>
    </r>
    <r>
      <rPr>
        <sz val="11"/>
        <color theme="1"/>
        <rFont val="Times New Roman"/>
        <family val="1"/>
        <charset val="186"/>
      </rPr>
      <t xml:space="preserve"> sanmezglos ( m</t>
    </r>
    <r>
      <rPr>
        <vertAlign val="superscript"/>
        <sz val="11"/>
        <rFont val="Arial"/>
        <family val="2"/>
        <charset val="186"/>
      </rPr>
      <t>2</t>
    </r>
    <r>
      <rPr>
        <sz val="11"/>
        <rFont val="Arial"/>
        <family val="2"/>
        <charset val="186"/>
      </rPr>
      <t xml:space="preserve"> )</t>
    </r>
  </si>
  <si>
    <r>
      <rPr>
        <b/>
        <sz val="11"/>
        <rFont val="Times New Roman"/>
        <family val="1"/>
        <charset val="186"/>
      </rPr>
      <t>Lamināta durvis</t>
    </r>
    <r>
      <rPr>
        <sz val="11"/>
        <rFont val="Times New Roman"/>
        <family val="1"/>
        <charset val="186"/>
      </rPr>
      <t xml:space="preserve"> sanmezglos 600 mm x 1100 mm (skaits)</t>
    </r>
  </si>
  <si>
    <r>
      <rPr>
        <b/>
        <sz val="11"/>
        <rFont val="Times New Roman"/>
        <family val="1"/>
        <charset val="186"/>
      </rPr>
      <t>Lamināta durvis</t>
    </r>
    <r>
      <rPr>
        <sz val="11"/>
        <rFont val="Times New Roman"/>
        <family val="1"/>
        <charset val="186"/>
      </rPr>
      <t xml:space="preserve"> sanmezglos 700 mm x 1830 mm (skaits)</t>
    </r>
  </si>
  <si>
    <r>
      <t>Flīzes, m</t>
    </r>
    <r>
      <rPr>
        <b/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</si>
  <si>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 xml:space="preserve">Izlīdzinošā kārta, špaktelēšana, sienu krāsojums </t>
    </r>
    <r>
      <rPr>
        <sz val="11"/>
        <rFont val="Times New Roman"/>
        <family val="1"/>
        <charset val="186"/>
      </rPr>
      <t>(ģipškartona sienas), tonis- Y487 Piazza (Tikkurila),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</si>
  <si>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>Dekoratīvais krāsojums</t>
    </r>
    <r>
      <rPr>
        <sz val="11"/>
        <rFont val="Times New Roman"/>
        <family val="1"/>
        <charset val="186"/>
      </rPr>
      <t>, tonis S1060-G70Y,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</si>
  <si>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>Izlīdzinošā kārta, flīžu līme, flīzes</t>
    </r>
    <r>
      <rPr>
        <sz val="11"/>
        <rFont val="Times New Roman"/>
        <family val="1"/>
        <charset val="186"/>
      </rPr>
      <t xml:space="preserve">
Butterfly pistachio, 2837, 
285 x 85 x 9 mm, (Kerama Marazzi), m</t>
    </r>
    <r>
      <rPr>
        <vertAlign val="superscript"/>
        <sz val="11"/>
        <rFont val="Times New Roman"/>
        <family val="1"/>
        <charset val="186"/>
      </rPr>
      <t>2</t>
    </r>
  </si>
  <si>
    <r>
      <rPr>
        <b/>
        <sz val="11"/>
        <rFont val="Times New Roman"/>
        <family val="1"/>
        <charset val="186"/>
      </rPr>
      <t>Spogulis</t>
    </r>
    <r>
      <rPr>
        <sz val="11"/>
        <rFont val="Times New Roman"/>
        <family val="1"/>
        <charset val="186"/>
      </rPr>
      <t>, 610 x 2340 mm, gab</t>
    </r>
  </si>
  <si>
    <r>
      <t>Griesti, m</t>
    </r>
    <r>
      <rPr>
        <b/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</si>
  <si>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color theme="1"/>
        <rFont val="Times New Roman"/>
        <family val="1"/>
        <charset val="186"/>
      </rPr>
      <t xml:space="preserve">Gruntēšana, krāsojums </t>
    </r>
    <r>
      <rPr>
        <sz val="11"/>
        <color theme="1"/>
        <rFont val="Times New Roman"/>
        <family val="1"/>
        <charset val="186"/>
      </rPr>
      <t>uz monolītā dzelzsbetona, tonis- balts, m</t>
    </r>
    <r>
      <rPr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</si>
  <si>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color theme="1"/>
        <rFont val="Times New Roman"/>
        <family val="1"/>
        <charset val="186"/>
      </rPr>
      <t>LED gaismeklis pie griestiem</t>
    </r>
    <r>
      <rPr>
        <sz val="11"/>
        <color theme="1"/>
        <rFont val="Times New Roman"/>
        <family val="1"/>
        <charset val="186"/>
      </rPr>
      <t xml:space="preserve">
∅225 mm, 120°, 3500K, 1800Lm, IP44, 18W (ELMO)
</t>
    </r>
  </si>
  <si>
    <r>
      <rPr>
        <b/>
        <sz val="11"/>
        <color theme="1"/>
        <rFont val="Times New Roman"/>
        <family val="1"/>
        <charset val="186"/>
      </rPr>
      <t>Gaismeklis pie sienas</t>
    </r>
    <r>
      <rPr>
        <sz val="11"/>
        <color theme="1"/>
        <rFont val="Times New Roman"/>
        <family val="1"/>
        <charset val="186"/>
      </rPr>
      <t xml:space="preserve">
BASIC SMALL, d=260 mm, E27, 54W, IP65, IK10 (LEDS C4)</t>
    </r>
  </si>
  <si>
    <r>
      <t>Griesti, m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</si>
  <si>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r>
      <rPr>
        <b/>
        <sz val="10"/>
        <color theme="1"/>
        <rFont val="Times New Roman"/>
        <family val="1"/>
        <charset val="186"/>
      </rPr>
      <t xml:space="preserve">Gruntēšana, krāsojums </t>
    </r>
    <r>
      <rPr>
        <sz val="10"/>
        <color theme="1"/>
        <rFont val="Times New Roman"/>
        <family val="1"/>
        <charset val="186"/>
      </rPr>
      <t>uz monolītā dzelzsbetona, tonis- balts, m</t>
    </r>
    <r>
      <rPr>
        <vertAlign val="superscript"/>
        <sz val="10"/>
        <color theme="1"/>
        <rFont val="Times New Roman"/>
        <family val="1"/>
        <charset val="186"/>
      </rPr>
      <t>2</t>
    </r>
  </si>
  <si>
    <r>
      <rPr>
        <b/>
        <sz val="10"/>
        <color theme="1"/>
        <rFont val="Times New Roman"/>
        <family val="1"/>
        <charset val="186"/>
      </rPr>
      <t xml:space="preserve">Gruntēšana, krāsojums </t>
    </r>
    <r>
      <rPr>
        <sz val="10"/>
        <color theme="1"/>
        <rFont val="Times New Roman"/>
        <family val="1"/>
        <charset val="186"/>
      </rPr>
      <t>uz ģipškartona, tonis- balts, m</t>
    </r>
    <r>
      <rPr>
        <vertAlign val="superscript"/>
        <sz val="10"/>
        <color theme="1"/>
        <rFont val="Times New Roman"/>
        <family val="1"/>
        <charset val="186"/>
      </rPr>
      <t>2</t>
    </r>
  </si>
  <si>
    <r>
      <rPr>
        <b/>
        <sz val="10"/>
        <color theme="1"/>
        <rFont val="Times New Roman"/>
        <family val="1"/>
        <charset val="186"/>
      </rPr>
      <t>LED panelis griestos</t>
    </r>
    <r>
      <rPr>
        <sz val="10"/>
        <color theme="1"/>
        <rFont val="Times New Roman"/>
        <family val="1"/>
        <charset val="186"/>
      </rPr>
      <t xml:space="preserve">
∅145 mm, 120°, 3500K, 900Lm, IP44 (9W), (ELMO)</t>
    </r>
  </si>
  <si>
    <r>
      <rPr>
        <b/>
        <sz val="10"/>
        <color theme="1"/>
        <rFont val="Times New Roman"/>
        <family val="1"/>
        <charset val="186"/>
      </rPr>
      <t>Gaismeklis pie griestiem</t>
    </r>
    <r>
      <rPr>
        <sz val="10"/>
        <color theme="1"/>
        <rFont val="Times New Roman"/>
        <family val="1"/>
        <charset val="186"/>
      </rPr>
      <t xml:space="preserve">
FOX-236-EP, 2x36W, 1315 x 165 x 63 mm (Vyrtych)</t>
    </r>
  </si>
  <si>
    <r>
      <rPr>
        <b/>
        <sz val="10"/>
        <color theme="1"/>
        <rFont val="Times New Roman"/>
        <family val="1"/>
        <charset val="186"/>
      </rPr>
      <t>Gaismeklis griestos</t>
    </r>
    <r>
      <rPr>
        <sz val="10"/>
        <color theme="1"/>
        <rFont val="Times New Roman"/>
        <family val="1"/>
        <charset val="186"/>
      </rPr>
      <t xml:space="preserve">
Orion 218 B27 SOP, 52W (Northcliffe)</t>
    </r>
  </si>
  <si>
    <r>
      <rPr>
        <b/>
        <sz val="10"/>
        <color theme="1"/>
        <rFont val="Times New Roman"/>
        <family val="1"/>
        <charset val="186"/>
      </rPr>
      <t>LED gaismeklis pie griestiem</t>
    </r>
    <r>
      <rPr>
        <sz val="10"/>
        <color theme="1"/>
        <rFont val="Times New Roman"/>
        <family val="1"/>
        <charset val="186"/>
      </rPr>
      <t xml:space="preserve">
∅225 mm, 120°, 3500K, 1800Lm, IP44, 18W (ELMO)
</t>
    </r>
  </si>
  <si>
    <r>
      <rPr>
        <b/>
        <sz val="10"/>
        <color theme="1"/>
        <rFont val="Times New Roman"/>
        <family val="1"/>
        <charset val="186"/>
      </rPr>
      <t>Gaismeklis pie griestiem</t>
    </r>
    <r>
      <rPr>
        <sz val="10"/>
        <color theme="1"/>
        <rFont val="Times New Roman"/>
        <family val="1"/>
        <charset val="186"/>
      </rPr>
      <t xml:space="preserve">
Neptun PC T8, 2x36 W, (LUXIONA)
</t>
    </r>
  </si>
  <si>
    <r>
      <rPr>
        <b/>
        <sz val="10"/>
        <color theme="1"/>
        <rFont val="Times New Roman"/>
        <family val="1"/>
        <charset val="186"/>
      </rPr>
      <t>Griestos iekārts gaismeklis</t>
    </r>
    <r>
      <rPr>
        <sz val="10"/>
        <color theme="1"/>
        <rFont val="Times New Roman"/>
        <family val="1"/>
        <charset val="186"/>
      </rPr>
      <t xml:space="preserve">
Neptun PC T8, 2x36 W, (LUXIONA) (paredzēt piekares sistēmu)
</t>
    </r>
  </si>
  <si>
    <r>
      <rPr>
        <b/>
        <sz val="10"/>
        <color theme="1"/>
        <rFont val="Times New Roman"/>
        <family val="1"/>
        <charset val="186"/>
      </rPr>
      <t>Dežūrapgaismojums pie sienas</t>
    </r>
    <r>
      <rPr>
        <sz val="10"/>
        <color theme="1"/>
        <rFont val="Times New Roman"/>
        <family val="1"/>
        <charset val="186"/>
      </rPr>
      <t xml:space="preserve">
SMILLA BAGGE (101.944.46), 230 x 320 x 65 mm (IKEA)
</t>
    </r>
  </si>
  <si>
    <r>
      <rPr>
        <b/>
        <sz val="11"/>
        <color rgb="FF00B050"/>
        <rFont val="Times New Roman"/>
        <family val="1"/>
        <charset val="186"/>
      </rPr>
      <t xml:space="preserve">M-1 </t>
    </r>
    <r>
      <rPr>
        <b/>
        <sz val="11"/>
        <color theme="1"/>
        <rFont val="Times New Roman"/>
        <family val="1"/>
        <charset val="186"/>
      </rPr>
      <t>Plaukts dvieļiem</t>
    </r>
    <r>
      <rPr>
        <sz val="11"/>
        <color theme="1"/>
        <rFont val="Times New Roman"/>
        <family val="1"/>
        <charset val="186"/>
      </rPr>
      <t>, 485 x 390 (a x h), gab</t>
    </r>
  </si>
  <si>
    <r>
      <rPr>
        <b/>
        <sz val="11"/>
        <color rgb="FF00B050"/>
        <rFont val="Times New Roman"/>
        <family val="1"/>
        <charset val="186"/>
      </rPr>
      <t xml:space="preserve">M-2 </t>
    </r>
    <r>
      <rPr>
        <b/>
        <sz val="11"/>
        <color theme="1"/>
        <rFont val="Times New Roman"/>
        <family val="1"/>
        <charset val="186"/>
      </rPr>
      <t>Plaukts dvieļiem</t>
    </r>
    <r>
      <rPr>
        <sz val="11"/>
        <color theme="1"/>
        <rFont val="Times New Roman"/>
        <family val="1"/>
        <charset val="186"/>
      </rPr>
      <t>, 1200 x 390 (a x h), gab</t>
    </r>
  </si>
  <si>
    <r>
      <rPr>
        <b/>
        <sz val="11"/>
        <color rgb="FF00B050"/>
        <rFont val="Times New Roman"/>
        <family val="1"/>
        <charset val="186"/>
      </rPr>
      <t xml:space="preserve">M-3 </t>
    </r>
    <r>
      <rPr>
        <b/>
        <sz val="11"/>
        <color theme="1"/>
        <rFont val="Times New Roman"/>
        <family val="1"/>
        <charset val="186"/>
      </rPr>
      <t>Plaukts dvieļiem</t>
    </r>
    <r>
      <rPr>
        <sz val="11"/>
        <color theme="1"/>
        <rFont val="Times New Roman"/>
        <family val="1"/>
        <charset val="186"/>
      </rPr>
      <t xml:space="preserve"> , 1456 x 900 (a x h), gab</t>
    </r>
  </si>
  <si>
    <r>
      <rPr>
        <b/>
        <sz val="11"/>
        <color rgb="FF00B050"/>
        <rFont val="Times New Roman"/>
        <family val="1"/>
        <charset val="186"/>
      </rPr>
      <t xml:space="preserve">M-4 </t>
    </r>
    <r>
      <rPr>
        <b/>
        <sz val="11"/>
        <rFont val="Times New Roman"/>
        <family val="1"/>
        <charset val="186"/>
      </rPr>
      <t xml:space="preserve">Lego galds, </t>
    </r>
    <r>
      <rPr>
        <sz val="11"/>
        <rFont val="Times New Roman"/>
        <family val="1"/>
        <charset val="186"/>
      </rPr>
      <t>d=1000 mm, h=460 mm</t>
    </r>
  </si>
  <si>
    <r>
      <t xml:space="preserve">M-5 </t>
    </r>
    <r>
      <rPr>
        <b/>
        <sz val="11"/>
        <rFont val="Times New Roman"/>
        <family val="1"/>
        <charset val="186"/>
      </rPr>
      <t xml:space="preserve">Galds nodarbībām, </t>
    </r>
    <r>
      <rPr>
        <sz val="11"/>
        <rFont val="Times New Roman"/>
        <family val="1"/>
        <charset val="186"/>
      </rPr>
      <t xml:space="preserve">d=900 mm, h=460 mm, </t>
    </r>
    <r>
      <rPr>
        <b/>
        <sz val="12"/>
        <rFont val="Times New Roman"/>
        <family val="1"/>
        <charset val="186"/>
      </rPr>
      <t/>
    </r>
  </si>
  <si>
    <r>
      <t xml:space="preserve">M-6 </t>
    </r>
    <r>
      <rPr>
        <b/>
        <sz val="11"/>
        <rFont val="Times New Roman"/>
        <family val="1"/>
        <charset val="186"/>
      </rPr>
      <t>Darbinieka galds,</t>
    </r>
    <r>
      <rPr>
        <sz val="11"/>
        <rFont val="Times New Roman"/>
        <family val="1"/>
        <charset val="186"/>
      </rPr>
      <t xml:space="preserve"> 1300 x 700 x 740 mm</t>
    </r>
  </si>
  <si>
    <r>
      <t xml:space="preserve">M-7 </t>
    </r>
    <r>
      <rPr>
        <b/>
        <sz val="11"/>
        <rFont val="Times New Roman"/>
        <family val="1"/>
        <charset val="186"/>
      </rPr>
      <t>Darbinieka galds,</t>
    </r>
    <r>
      <rPr>
        <sz val="11"/>
        <rFont val="Times New Roman"/>
        <family val="1"/>
        <charset val="186"/>
      </rPr>
      <t xml:space="preserve"> 1300 x 700 x 740 mm</t>
    </r>
  </si>
  <si>
    <r>
      <t xml:space="preserve">M-8 </t>
    </r>
    <r>
      <rPr>
        <b/>
        <sz val="11"/>
        <rFont val="Times New Roman"/>
        <family val="1"/>
        <charset val="186"/>
      </rPr>
      <t>Atvilktņu bloks</t>
    </r>
    <r>
      <rPr>
        <sz val="11"/>
        <rFont val="Times New Roman"/>
        <family val="1"/>
        <charset val="186"/>
      </rPr>
      <t>, 400 x 500 mm, h=456 mm</t>
    </r>
  </si>
  <si>
    <r>
      <t xml:space="preserve">M-9 </t>
    </r>
    <r>
      <rPr>
        <b/>
        <sz val="11"/>
        <rFont val="Times New Roman"/>
        <family val="1"/>
        <charset val="186"/>
      </rPr>
      <t>Plaukts spēlēm</t>
    </r>
    <r>
      <rPr>
        <sz val="11"/>
        <rFont val="Times New Roman"/>
        <family val="1"/>
        <charset val="186"/>
      </rPr>
      <t>, 800 x 300 mm, h=400 mm</t>
    </r>
  </si>
  <si>
    <r>
      <rPr>
        <b/>
        <sz val="11"/>
        <color rgb="FF00B050"/>
        <rFont val="Times New Roman"/>
        <family val="1"/>
        <charset val="186"/>
      </rPr>
      <t xml:space="preserve">M-10 </t>
    </r>
    <r>
      <rPr>
        <b/>
        <sz val="11"/>
        <color theme="1"/>
        <rFont val="Times New Roman"/>
        <family val="1"/>
        <charset val="186"/>
      </rPr>
      <t>Plaukts kastītēm</t>
    </r>
    <r>
      <rPr>
        <sz val="11"/>
        <color theme="1"/>
        <rFont val="Times New Roman"/>
        <family val="1"/>
        <charset val="186"/>
      </rPr>
      <t>, 800 x 300 mm, h=400 mm</t>
    </r>
  </si>
  <si>
    <r>
      <t xml:space="preserve">M-13 </t>
    </r>
    <r>
      <rPr>
        <b/>
        <sz val="11"/>
        <rFont val="Times New Roman"/>
        <family val="1"/>
        <charset val="186"/>
      </rPr>
      <t xml:space="preserve">Bērnu krēsliņš, </t>
    </r>
    <r>
      <rPr>
        <sz val="11"/>
        <rFont val="Times New Roman"/>
        <family val="1"/>
        <charset val="186"/>
      </rPr>
      <t xml:space="preserve">LUCY 2, 360 x 320 mm, h=280 mm
</t>
    </r>
  </si>
  <si>
    <r>
      <t xml:space="preserve">M-13* </t>
    </r>
    <r>
      <rPr>
        <b/>
        <sz val="11"/>
        <rFont val="Times New Roman"/>
        <family val="1"/>
        <charset val="186"/>
      </rPr>
      <t xml:space="preserve">Bērnu krēsliņš, </t>
    </r>
    <r>
      <rPr>
        <sz val="11"/>
        <rFont val="Times New Roman"/>
        <family val="1"/>
        <charset val="186"/>
      </rPr>
      <t xml:space="preserve">LUCY 4, 410 x 370 mm, h=335 mm
</t>
    </r>
  </si>
  <si>
    <r>
      <t xml:space="preserve">M-14 </t>
    </r>
    <r>
      <rPr>
        <b/>
        <sz val="11"/>
        <rFont val="Times New Roman"/>
        <family val="1"/>
        <charset val="186"/>
      </rPr>
      <t>Darbinieka krēsls</t>
    </r>
    <r>
      <rPr>
        <sz val="11"/>
        <rFont val="Times New Roman"/>
        <family val="1"/>
        <charset val="186"/>
      </rPr>
      <t xml:space="preserve"> 
MICRO SA, 620 x 620 mm, (RKF)
</t>
    </r>
  </si>
  <si>
    <r>
      <t xml:space="preserve">M-15 </t>
    </r>
    <r>
      <rPr>
        <b/>
        <sz val="11"/>
        <rFont val="Times New Roman"/>
        <family val="1"/>
        <charset val="186"/>
      </rPr>
      <t>Izvelkama bērnu gultiņa</t>
    </r>
    <r>
      <rPr>
        <sz val="11"/>
        <rFont val="Times New Roman"/>
        <family val="1"/>
        <charset val="186"/>
      </rPr>
      <t xml:space="preserve"> (3 viet.) RITA, 1550 x 660 x 700 mm</t>
    </r>
  </si>
  <si>
    <r>
      <t xml:space="preserve">M-16 </t>
    </r>
    <r>
      <rPr>
        <b/>
        <sz val="11"/>
        <rFont val="Times New Roman"/>
        <family val="1"/>
        <charset val="186"/>
      </rPr>
      <t>Izvelkama bērnu gultiņa</t>
    </r>
    <r>
      <rPr>
        <sz val="11"/>
        <rFont val="Times New Roman"/>
        <family val="1"/>
        <charset val="186"/>
      </rPr>
      <t xml:space="preserve"> (4 viet.) GITA, 1600 x 660 x 970 mm</t>
    </r>
  </si>
  <si>
    <r>
      <rPr>
        <b/>
        <sz val="11"/>
        <color rgb="FF00B050"/>
        <rFont val="Times New Roman"/>
        <family val="1"/>
        <charset val="186"/>
      </rPr>
      <t>M-17</t>
    </r>
    <r>
      <rPr>
        <b/>
        <sz val="11"/>
        <color theme="1"/>
        <rFont val="Times New Roman"/>
        <family val="1"/>
        <charset val="186"/>
      </rPr>
      <t xml:space="preserve"> Ģērbtuvju skapītis</t>
    </r>
    <r>
      <rPr>
        <sz val="11"/>
        <color theme="1"/>
        <rFont val="Times New Roman"/>
        <family val="1"/>
        <charset val="186"/>
      </rPr>
      <t>, 1200 x 570 x 1520 mm</t>
    </r>
  </si>
  <si>
    <r>
      <rPr>
        <b/>
        <sz val="11"/>
        <color rgb="FF00B050"/>
        <rFont val="Times New Roman"/>
        <family val="1"/>
        <charset val="186"/>
      </rPr>
      <t>M-18</t>
    </r>
    <r>
      <rPr>
        <b/>
        <sz val="11"/>
        <color theme="1"/>
        <rFont val="Times New Roman"/>
        <family val="1"/>
        <charset val="186"/>
      </rPr>
      <t xml:space="preserve"> Žāvēšanas skapis</t>
    </r>
    <r>
      <rPr>
        <sz val="11"/>
        <color theme="1"/>
        <rFont val="Times New Roman"/>
        <family val="1"/>
        <charset val="186"/>
      </rPr>
      <t>, 1500 x 600 x 2200 mm</t>
    </r>
  </si>
  <si>
    <r>
      <rPr>
        <b/>
        <sz val="11"/>
        <color rgb="FF00B050"/>
        <rFont val="Times New Roman"/>
        <family val="1"/>
        <charset val="186"/>
      </rPr>
      <t xml:space="preserve">M-19 </t>
    </r>
    <r>
      <rPr>
        <b/>
        <sz val="11"/>
        <color theme="1"/>
        <rFont val="Times New Roman"/>
        <family val="1"/>
        <charset val="186"/>
      </rPr>
      <t>Darbinieka galds</t>
    </r>
    <r>
      <rPr>
        <sz val="11"/>
        <color theme="1"/>
        <rFont val="Times New Roman"/>
        <family val="1"/>
        <charset val="186"/>
      </rPr>
      <t>, 1800 x 700 x 728 mm</t>
    </r>
  </si>
  <si>
    <r>
      <rPr>
        <b/>
        <sz val="11"/>
        <color rgb="FF00B050"/>
        <rFont val="Times New Roman"/>
        <family val="1"/>
        <charset val="186"/>
      </rPr>
      <t xml:space="preserve">M-20 </t>
    </r>
    <r>
      <rPr>
        <b/>
        <sz val="11"/>
        <color theme="1"/>
        <rFont val="Times New Roman"/>
        <family val="1"/>
        <charset val="186"/>
      </rPr>
      <t>Papildus galds</t>
    </r>
    <r>
      <rPr>
        <sz val="11"/>
        <color theme="1"/>
        <rFont val="Times New Roman"/>
        <family val="1"/>
        <charset val="186"/>
      </rPr>
      <t>, d=1000 mm, h=748 mm</t>
    </r>
  </si>
  <si>
    <r>
      <rPr>
        <b/>
        <sz val="11"/>
        <color rgb="FF00B050"/>
        <rFont val="Times New Roman"/>
        <family val="1"/>
        <charset val="186"/>
      </rPr>
      <t xml:space="preserve">M-21 </t>
    </r>
    <r>
      <rPr>
        <b/>
        <sz val="11"/>
        <color theme="1"/>
        <rFont val="Times New Roman"/>
        <family val="1"/>
        <charset val="186"/>
      </rPr>
      <t>Plaukts dokumentiem</t>
    </r>
    <r>
      <rPr>
        <sz val="11"/>
        <color theme="1"/>
        <rFont val="Times New Roman"/>
        <family val="1"/>
        <charset val="186"/>
      </rPr>
      <t>, 1000 x 400 x 635 mm</t>
    </r>
  </si>
  <si>
    <r>
      <rPr>
        <b/>
        <sz val="11"/>
        <color rgb="FF00B050"/>
        <rFont val="Times New Roman"/>
        <family val="1"/>
        <charset val="186"/>
      </rPr>
      <t xml:space="preserve">M-22 </t>
    </r>
    <r>
      <rPr>
        <b/>
        <sz val="11"/>
        <color theme="1"/>
        <rFont val="Times New Roman"/>
        <family val="1"/>
        <charset val="186"/>
      </rPr>
      <t>Apģērbu skapis</t>
    </r>
    <r>
      <rPr>
        <sz val="11"/>
        <color theme="1"/>
        <rFont val="Times New Roman"/>
        <family val="1"/>
        <charset val="186"/>
      </rPr>
      <t>, 600 x 600 x 2200 mm</t>
    </r>
  </si>
  <si>
    <r>
      <rPr>
        <b/>
        <sz val="11"/>
        <color rgb="FF00B050"/>
        <rFont val="Times New Roman"/>
        <family val="1"/>
        <charset val="186"/>
      </rPr>
      <t xml:space="preserve">M-23 </t>
    </r>
    <r>
      <rPr>
        <b/>
        <sz val="11"/>
        <color theme="1"/>
        <rFont val="Times New Roman"/>
        <family val="1"/>
        <charset val="186"/>
      </rPr>
      <t>Darbinieka krēsls</t>
    </r>
    <r>
      <rPr>
        <sz val="11"/>
        <color theme="1"/>
        <rFont val="Times New Roman"/>
        <family val="1"/>
        <charset val="186"/>
      </rPr>
      <t xml:space="preserve">, QUEEN 490 x 490 mm, (KATE)
</t>
    </r>
  </si>
  <si>
    <r>
      <rPr>
        <b/>
        <sz val="11"/>
        <color rgb="FF00B050"/>
        <rFont val="Times New Roman"/>
        <family val="1"/>
        <charset val="186"/>
      </rPr>
      <t xml:space="preserve">M-24 </t>
    </r>
    <r>
      <rPr>
        <b/>
        <sz val="11"/>
        <color theme="1"/>
        <rFont val="Times New Roman"/>
        <family val="1"/>
        <charset val="186"/>
      </rPr>
      <t>Apmeklētāju krēsls</t>
    </r>
    <r>
      <rPr>
        <sz val="11"/>
        <color theme="1"/>
        <rFont val="Times New Roman"/>
        <family val="1"/>
        <charset val="186"/>
      </rPr>
      <t xml:space="preserve">, WEB 950, 545 x 510 mm, (OMP)
</t>
    </r>
  </si>
  <si>
    <r>
      <rPr>
        <b/>
        <sz val="11"/>
        <color rgb="FF00B050"/>
        <rFont val="Times New Roman"/>
        <family val="1"/>
        <charset val="186"/>
      </rPr>
      <t xml:space="preserve">M-25 </t>
    </r>
    <r>
      <rPr>
        <b/>
        <sz val="11"/>
        <color theme="1"/>
        <rFont val="Times New Roman"/>
        <family val="1"/>
        <charset val="186"/>
      </rPr>
      <t xml:space="preserve">Ratiņi / statīvs krēsliem </t>
    </r>
    <r>
      <rPr>
        <sz val="11"/>
        <color theme="1"/>
        <rFont val="Times New Roman"/>
        <family val="1"/>
        <charset val="186"/>
      </rPr>
      <t>WEB 950, (OMP)</t>
    </r>
  </si>
  <si>
    <r>
      <rPr>
        <b/>
        <sz val="11"/>
        <color rgb="FF00B050"/>
        <rFont val="Times New Roman"/>
        <family val="1"/>
        <charset val="186"/>
      </rPr>
      <t xml:space="preserve">M-26 </t>
    </r>
    <r>
      <rPr>
        <b/>
        <sz val="11"/>
        <color theme="1"/>
        <rFont val="Times New Roman"/>
        <family val="1"/>
        <charset val="186"/>
      </rPr>
      <t xml:space="preserve">Darbinieka krēsls 
</t>
    </r>
    <r>
      <rPr>
        <sz val="11"/>
        <color theme="1"/>
        <rFont val="Times New Roman"/>
        <family val="1"/>
        <charset val="186"/>
      </rPr>
      <t>AKSIOMA, (RKF)</t>
    </r>
  </si>
  <si>
    <r>
      <rPr>
        <b/>
        <sz val="11"/>
        <color rgb="FF00B050"/>
        <rFont val="Times New Roman"/>
        <family val="1"/>
        <charset val="186"/>
      </rPr>
      <t xml:space="preserve">M-27 </t>
    </r>
    <r>
      <rPr>
        <b/>
        <sz val="11"/>
        <color theme="1"/>
        <rFont val="Times New Roman"/>
        <family val="1"/>
        <charset val="186"/>
      </rPr>
      <t>Skapis medikamentiem</t>
    </r>
    <r>
      <rPr>
        <sz val="11"/>
        <color theme="1"/>
        <rFont val="Times New Roman"/>
        <family val="1"/>
        <charset val="186"/>
      </rPr>
      <t>, 800 x 450 x 1800 mm</t>
    </r>
  </si>
  <si>
    <r>
      <rPr>
        <b/>
        <sz val="11"/>
        <color rgb="FF00B050"/>
        <rFont val="Times New Roman"/>
        <family val="1"/>
        <charset val="186"/>
      </rPr>
      <t xml:space="preserve">M-28 </t>
    </r>
    <r>
      <rPr>
        <b/>
        <sz val="11"/>
        <color theme="1"/>
        <rFont val="Times New Roman"/>
        <family val="1"/>
        <charset val="186"/>
      </rPr>
      <t>Atviltņu bloks</t>
    </r>
    <r>
      <rPr>
        <sz val="11"/>
        <color theme="1"/>
        <rFont val="Times New Roman"/>
        <family val="1"/>
        <charset val="186"/>
      </rPr>
      <t>, 900 x 450 x 8500 mm</t>
    </r>
  </si>
  <si>
    <r>
      <rPr>
        <b/>
        <sz val="11"/>
        <color rgb="FF00B050"/>
        <rFont val="Times New Roman"/>
        <family val="1"/>
        <charset val="186"/>
      </rPr>
      <t xml:space="preserve">M-29 </t>
    </r>
    <r>
      <rPr>
        <b/>
        <sz val="11"/>
        <color theme="1"/>
        <rFont val="Times New Roman"/>
        <family val="1"/>
        <charset val="186"/>
      </rPr>
      <t xml:space="preserve">Medicīniskā kušete
</t>
    </r>
    <r>
      <rPr>
        <sz val="11"/>
        <color theme="1"/>
        <rFont val="Times New Roman"/>
        <family val="1"/>
        <charset val="186"/>
      </rPr>
      <t>OVMS-1, 1900 x 650 mm (Medilink)</t>
    </r>
  </si>
  <si>
    <r>
      <rPr>
        <b/>
        <sz val="11"/>
        <color rgb="FF00B050"/>
        <rFont val="Times New Roman"/>
        <family val="1"/>
        <charset val="186"/>
      </rPr>
      <t xml:space="preserve">M-30 </t>
    </r>
    <r>
      <rPr>
        <b/>
        <sz val="11"/>
        <color theme="1"/>
        <rFont val="Times New Roman"/>
        <family val="1"/>
        <charset val="186"/>
      </rPr>
      <t xml:space="preserve">Apģērbu skapis, </t>
    </r>
    <r>
      <rPr>
        <sz val="11"/>
        <color theme="1"/>
        <rFont val="Times New Roman"/>
        <family val="1"/>
        <charset val="186"/>
      </rPr>
      <t>1200 x 600 x 2200 mm</t>
    </r>
  </si>
  <si>
    <r>
      <rPr>
        <b/>
        <sz val="11"/>
        <color rgb="FF00B050"/>
        <rFont val="Times New Roman"/>
        <family val="1"/>
        <charset val="186"/>
      </rPr>
      <t>M-31</t>
    </r>
    <r>
      <rPr>
        <sz val="11"/>
        <color theme="1"/>
        <rFont val="Times New Roman"/>
        <family val="1"/>
        <charset val="186"/>
      </rPr>
      <t xml:space="preserve"> </t>
    </r>
    <r>
      <rPr>
        <b/>
        <sz val="11"/>
        <color theme="1"/>
        <rFont val="Times New Roman"/>
        <family val="1"/>
        <charset val="186"/>
      </rPr>
      <t xml:space="preserve">Apkopējas skapis, </t>
    </r>
    <r>
      <rPr>
        <sz val="11"/>
        <color theme="1"/>
        <rFont val="Times New Roman"/>
        <family val="1"/>
        <charset val="186"/>
      </rPr>
      <t>1200 x 600 x 2200 mm</t>
    </r>
  </si>
  <si>
    <r>
      <rPr>
        <b/>
        <sz val="11"/>
        <color rgb="FF00B050"/>
        <rFont val="Times New Roman"/>
        <family val="1"/>
        <charset val="186"/>
      </rPr>
      <t>M-35</t>
    </r>
    <r>
      <rPr>
        <b/>
        <sz val="11"/>
        <color theme="1"/>
        <rFont val="Times New Roman"/>
        <family val="1"/>
        <charset val="186"/>
      </rPr>
      <t xml:space="preserve"> Garderobes skapis </t>
    </r>
    <r>
      <rPr>
        <sz val="11"/>
        <color theme="1"/>
        <rFont val="Times New Roman"/>
        <family val="1"/>
        <charset val="186"/>
      </rPr>
      <t xml:space="preserve">(4 vietīgs)
1550 x 600 x 2200 mm
</t>
    </r>
  </si>
  <si>
    <r>
      <rPr>
        <b/>
        <sz val="11"/>
        <color rgb="FF00B050"/>
        <rFont val="Times New Roman"/>
        <family val="1"/>
        <charset val="186"/>
      </rPr>
      <t>M-35*</t>
    </r>
    <r>
      <rPr>
        <b/>
        <sz val="11"/>
        <color theme="1"/>
        <rFont val="Times New Roman"/>
        <family val="1"/>
        <charset val="186"/>
      </rPr>
      <t xml:space="preserve"> Garderobes skapis </t>
    </r>
    <r>
      <rPr>
        <sz val="11"/>
        <color theme="1"/>
        <rFont val="Times New Roman"/>
        <family val="1"/>
        <charset val="186"/>
      </rPr>
      <t>(2 vietīgs)
784 x 600 x 2200 mm</t>
    </r>
  </si>
  <si>
    <r>
      <rPr>
        <b/>
        <sz val="11"/>
        <color rgb="FF00B050"/>
        <rFont val="Times New Roman"/>
        <family val="1"/>
        <charset val="186"/>
      </rPr>
      <t>M-36</t>
    </r>
    <r>
      <rPr>
        <b/>
        <sz val="11"/>
        <color theme="1"/>
        <rFont val="Times New Roman"/>
        <family val="1"/>
        <charset val="186"/>
      </rPr>
      <t xml:space="preserve"> Galds sarga telpā </t>
    </r>
    <r>
      <rPr>
        <sz val="11"/>
        <color theme="1"/>
        <rFont val="Times New Roman"/>
        <family val="1"/>
        <charset val="186"/>
      </rPr>
      <t>(ar 4 atvilktnēm)
1790 x 600 x 720 mm</t>
    </r>
  </si>
  <si>
    <r>
      <rPr>
        <b/>
        <sz val="11"/>
        <color rgb="FF00B050"/>
        <rFont val="Times New Roman"/>
        <family val="1"/>
        <charset val="186"/>
      </rPr>
      <t>M-37</t>
    </r>
    <r>
      <rPr>
        <b/>
        <sz val="11"/>
        <color theme="1"/>
        <rFont val="Times New Roman"/>
        <family val="1"/>
        <charset val="186"/>
      </rPr>
      <t xml:space="preserve"> Darba galds </t>
    </r>
    <r>
      <rPr>
        <sz val="11"/>
        <color theme="1"/>
        <rFont val="Times New Roman"/>
        <family val="1"/>
        <charset val="186"/>
      </rPr>
      <t>(ar 4 atvilktnēm)
1200 x 600 x 720 mm</t>
    </r>
  </si>
  <si>
    <r>
      <rPr>
        <b/>
        <sz val="11"/>
        <color rgb="FF00B050"/>
        <rFont val="Times New Roman"/>
        <family val="1"/>
        <charset val="186"/>
      </rPr>
      <t>M-38</t>
    </r>
    <r>
      <rPr>
        <b/>
        <sz val="11"/>
        <color theme="1"/>
        <rFont val="Times New Roman"/>
        <family val="1"/>
        <charset val="186"/>
      </rPr>
      <t xml:space="preserve"> Dokumentu skapis </t>
    </r>
    <r>
      <rPr>
        <sz val="11"/>
        <color theme="1"/>
        <rFont val="Times New Roman"/>
        <family val="1"/>
        <charset val="186"/>
      </rPr>
      <t>(ar plauktiem, slēdzamām durvīm), 800x400x1600 mm</t>
    </r>
  </si>
  <si>
    <r>
      <rPr>
        <b/>
        <sz val="11"/>
        <color rgb="FF00B050"/>
        <rFont val="Times New Roman"/>
        <family val="1"/>
        <charset val="186"/>
      </rPr>
      <t>M-39</t>
    </r>
    <r>
      <rPr>
        <b/>
        <sz val="11"/>
        <color theme="1"/>
        <rFont val="Times New Roman"/>
        <family val="1"/>
        <charset val="186"/>
      </rPr>
      <t xml:space="preserve"> Ēdamgalds </t>
    </r>
    <r>
      <rPr>
        <sz val="11"/>
        <color theme="1"/>
        <rFont val="Times New Roman"/>
        <family val="1"/>
        <charset val="186"/>
      </rPr>
      <t>(mazais),1600 x 800 x 460 mm</t>
    </r>
  </si>
  <si>
    <r>
      <rPr>
        <b/>
        <sz val="11"/>
        <color rgb="FF00B050"/>
        <rFont val="Times New Roman"/>
        <family val="1"/>
        <charset val="186"/>
      </rPr>
      <t xml:space="preserve">M-39* </t>
    </r>
    <r>
      <rPr>
        <b/>
        <sz val="11"/>
        <color theme="1"/>
        <rFont val="Times New Roman"/>
        <family val="1"/>
        <charset val="186"/>
      </rPr>
      <t xml:space="preserve">Ēdamgalds </t>
    </r>
    <r>
      <rPr>
        <sz val="11"/>
        <color theme="1"/>
        <rFont val="Times New Roman"/>
        <family val="1"/>
        <charset val="186"/>
      </rPr>
      <t>(lielais),1600 x 800 x 540 mm</t>
    </r>
  </si>
  <si>
    <r>
      <rPr>
        <b/>
        <sz val="11"/>
        <color rgb="FF00B050"/>
        <rFont val="Times New Roman"/>
        <family val="1"/>
        <charset val="186"/>
      </rPr>
      <t>M-39**</t>
    </r>
    <r>
      <rPr>
        <b/>
        <sz val="11"/>
        <color theme="1"/>
        <rFont val="Times New Roman"/>
        <family val="1"/>
        <charset val="186"/>
      </rPr>
      <t xml:space="preserve"> Ēdamgalds </t>
    </r>
    <r>
      <rPr>
        <sz val="11"/>
        <color theme="1"/>
        <rFont val="Times New Roman"/>
        <family val="1"/>
        <charset val="186"/>
      </rPr>
      <t>(pasniedzējām)
1600 x 800 x 740 mm</t>
    </r>
  </si>
  <si>
    <r>
      <rPr>
        <b/>
        <sz val="11"/>
        <color rgb="FF00B050"/>
        <rFont val="Times New Roman"/>
        <family val="1"/>
        <charset val="186"/>
      </rPr>
      <t>M-40</t>
    </r>
    <r>
      <rPr>
        <b/>
        <sz val="11"/>
        <color theme="1"/>
        <rFont val="Times New Roman"/>
        <family val="1"/>
        <charset val="186"/>
      </rPr>
      <t xml:space="preserve"> Krēsls </t>
    </r>
    <r>
      <rPr>
        <sz val="11"/>
        <color theme="1"/>
        <rFont val="Times New Roman"/>
        <family val="1"/>
        <charset val="186"/>
      </rPr>
      <t>(audzinātājām, ēdamzālē)
DINAMO (RKF)</t>
    </r>
  </si>
  <si>
    <r>
      <rPr>
        <b/>
        <sz val="11"/>
        <color rgb="FF00B050"/>
        <rFont val="Times New Roman"/>
        <family val="1"/>
        <charset val="186"/>
      </rPr>
      <t>M-41</t>
    </r>
    <r>
      <rPr>
        <b/>
        <sz val="11"/>
        <color theme="1"/>
        <rFont val="Times New Roman"/>
        <family val="1"/>
        <charset val="186"/>
      </rPr>
      <t xml:space="preserve"> Pārvietojams skatuves elements
</t>
    </r>
    <r>
      <rPr>
        <sz val="11"/>
        <color theme="1"/>
        <rFont val="Times New Roman"/>
        <family val="1"/>
        <charset val="186"/>
      </rPr>
      <t>1200 x 1200 mm</t>
    </r>
  </si>
  <si>
    <r>
      <rPr>
        <b/>
        <sz val="11"/>
        <color rgb="FF00B050"/>
        <rFont val="Times New Roman"/>
        <family val="1"/>
        <charset val="186"/>
      </rPr>
      <t>M-45</t>
    </r>
    <r>
      <rPr>
        <b/>
        <sz val="11"/>
        <color theme="1"/>
        <rFont val="Times New Roman"/>
        <family val="1"/>
        <charset val="186"/>
      </rPr>
      <t xml:space="preserve"> Plauktu sistēma, </t>
    </r>
    <r>
      <rPr>
        <sz val="11"/>
        <color theme="1"/>
        <rFont val="Times New Roman"/>
        <family val="1"/>
        <charset val="186"/>
      </rPr>
      <t>1280 x 585 mm</t>
    </r>
  </si>
  <si>
    <r>
      <rPr>
        <b/>
        <sz val="11"/>
        <color rgb="FF00B050"/>
        <rFont val="Times New Roman"/>
        <family val="1"/>
        <charset val="186"/>
      </rPr>
      <t>M-46</t>
    </r>
    <r>
      <rPr>
        <b/>
        <sz val="11"/>
        <color theme="1"/>
        <rFont val="Times New Roman"/>
        <family val="1"/>
        <charset val="186"/>
      </rPr>
      <t xml:space="preserve"> Plauktu sistēma, </t>
    </r>
    <r>
      <rPr>
        <sz val="11"/>
        <color theme="1"/>
        <rFont val="Times New Roman"/>
        <family val="1"/>
        <charset val="186"/>
      </rPr>
      <t>2300 x 445 mm</t>
    </r>
  </si>
  <si>
    <r>
      <rPr>
        <b/>
        <sz val="11"/>
        <color rgb="FF00B050"/>
        <rFont val="Times New Roman"/>
        <family val="1"/>
        <charset val="186"/>
      </rPr>
      <t>M-47</t>
    </r>
    <r>
      <rPr>
        <b/>
        <sz val="11"/>
        <color theme="1"/>
        <rFont val="Times New Roman"/>
        <family val="1"/>
        <charset val="186"/>
      </rPr>
      <t xml:space="preserve"> Plaukts un apģērbu stangas </t>
    </r>
    <r>
      <rPr>
        <sz val="11"/>
        <color theme="1"/>
        <rFont val="Times New Roman"/>
        <family val="1"/>
        <charset val="186"/>
      </rPr>
      <t>(tērpu uzglabāšanai), 1325 x 600 mm</t>
    </r>
  </si>
  <si>
    <r>
      <rPr>
        <b/>
        <sz val="11"/>
        <color theme="1"/>
        <rFont val="Times New Roman"/>
        <family val="1"/>
        <charset val="186"/>
      </rPr>
      <t xml:space="preserve">Infrasarkanais jaucējkrāns izlietnei  </t>
    </r>
    <r>
      <rPr>
        <sz val="11"/>
        <color theme="1"/>
        <rFont val="Times New Roman"/>
        <family val="1"/>
        <charset val="186"/>
      </rPr>
      <t xml:space="preserve">
Euroeco CE (GROHE)</t>
    </r>
  </si>
  <si>
    <r>
      <rPr>
        <b/>
        <sz val="11"/>
        <color theme="1"/>
        <rFont val="Times New Roman"/>
        <family val="1"/>
        <charset val="186"/>
      </rPr>
      <t xml:space="preserve">Izlietne </t>
    </r>
    <r>
      <rPr>
        <sz val="11"/>
        <color theme="1"/>
        <rFont val="Times New Roman"/>
        <family val="1"/>
        <charset val="186"/>
      </rPr>
      <t>(bērnu), 1750 x 400 mm, 3 vietīga, materiāls- koriāns, (sk. rasējumu)</t>
    </r>
  </si>
  <si>
    <r>
      <rPr>
        <b/>
        <sz val="11"/>
        <color theme="1"/>
        <rFont val="Times New Roman"/>
        <family val="1"/>
        <charset val="186"/>
      </rPr>
      <t xml:space="preserve">Izlietne </t>
    </r>
    <r>
      <rPr>
        <sz val="11"/>
        <color theme="1"/>
        <rFont val="Times New Roman"/>
        <family val="1"/>
        <charset val="186"/>
      </rPr>
      <t>(bērnu), 2350 x 400 mm, 4 vietīga, materiāls- koriāns, (sk. rasējumu)</t>
    </r>
  </si>
  <si>
    <r>
      <rPr>
        <b/>
        <sz val="11"/>
        <color theme="1"/>
        <rFont val="Times New Roman"/>
        <family val="1"/>
        <charset val="186"/>
      </rPr>
      <t>Izlietne</t>
    </r>
    <r>
      <rPr>
        <sz val="11"/>
        <color theme="1"/>
        <rFont val="Times New Roman"/>
        <family val="1"/>
        <charset val="186"/>
      </rPr>
      <t xml:space="preserve"> (pieaugušo)
D-Code, 45x34 cm, ar puskāju (Duravit)</t>
    </r>
  </si>
  <si>
    <r>
      <rPr>
        <b/>
        <sz val="11"/>
        <color theme="1"/>
        <rFont val="Times New Roman"/>
        <family val="1"/>
        <charset val="186"/>
      </rPr>
      <t xml:space="preserve">Invalīdu izlietne, </t>
    </r>
    <r>
      <rPr>
        <sz val="11"/>
        <color theme="1"/>
        <rFont val="Times New Roman"/>
        <family val="1"/>
        <charset val="186"/>
      </rPr>
      <t>60x49 GBG 7119, (Gustavsberg)</t>
    </r>
  </si>
  <si>
    <r>
      <rPr>
        <b/>
        <sz val="11"/>
        <color theme="1"/>
        <rFont val="Times New Roman"/>
        <family val="1"/>
        <charset val="186"/>
      </rPr>
      <t xml:space="preserve">Dušas paliktnis, </t>
    </r>
    <r>
      <rPr>
        <sz val="11"/>
        <color theme="1"/>
        <rFont val="Times New Roman"/>
        <family val="1"/>
        <charset val="186"/>
      </rPr>
      <t>SEMIDEEP NEO 800, (Roltechnik)</t>
    </r>
  </si>
  <si>
    <r>
      <rPr>
        <b/>
        <sz val="11"/>
        <color theme="1"/>
        <rFont val="Times New Roman"/>
        <family val="1"/>
        <charset val="186"/>
      </rPr>
      <t xml:space="preserve">Piekaramais klozetpods, </t>
    </r>
    <r>
      <rPr>
        <sz val="11"/>
        <color theme="1"/>
        <rFont val="Times New Roman"/>
        <family val="1"/>
        <charset val="186"/>
      </rPr>
      <t>FLORAKIDS 820031 ar sēdriņķi RED (Laufen)</t>
    </r>
  </si>
  <si>
    <r>
      <rPr>
        <b/>
        <sz val="11"/>
        <color theme="1"/>
        <rFont val="Times New Roman"/>
        <family val="1"/>
        <charset val="186"/>
      </rPr>
      <t>WC pods</t>
    </r>
    <r>
      <rPr>
        <sz val="11"/>
        <color theme="1"/>
        <rFont val="Times New Roman"/>
        <family val="1"/>
        <charset val="186"/>
      </rPr>
      <t>, (piekarams) O.novo (Villeroy&amp;Boch)</t>
    </r>
  </si>
  <si>
    <r>
      <rPr>
        <b/>
        <sz val="11"/>
        <color theme="1"/>
        <rFont val="Times New Roman"/>
        <family val="1"/>
        <charset val="186"/>
      </rPr>
      <t>Iebūvējamais WC poda rāmis</t>
    </r>
    <r>
      <rPr>
        <sz val="11"/>
        <color theme="1"/>
        <rFont val="Times New Roman"/>
        <family val="1"/>
        <charset val="186"/>
      </rPr>
      <t xml:space="preserve">
Duofix 112 cm, 458.160.00.1 (GEBERIT)</t>
    </r>
  </si>
  <si>
    <r>
      <rPr>
        <b/>
        <sz val="11"/>
        <color theme="1"/>
        <rFont val="Times New Roman"/>
        <family val="1"/>
        <charset val="186"/>
      </rPr>
      <t>WC skalojamās kastes noplūdes taustiņš</t>
    </r>
    <r>
      <rPr>
        <sz val="11"/>
        <color theme="1"/>
        <rFont val="Times New Roman"/>
        <family val="1"/>
        <charset val="186"/>
      </rPr>
      <t xml:space="preserve">
DELTA 21, 115.125.11.1 (GEBERIT)</t>
    </r>
  </si>
  <si>
    <r>
      <rPr>
        <b/>
        <sz val="11"/>
        <color rgb="FF00B050"/>
        <rFont val="Times New Roman"/>
        <family val="1"/>
        <charset val="186"/>
      </rPr>
      <t xml:space="preserve">M-3 </t>
    </r>
    <r>
      <rPr>
        <b/>
        <sz val="11"/>
        <color theme="1"/>
        <rFont val="Times New Roman"/>
        <family val="1"/>
        <charset val="186"/>
      </rPr>
      <t>Plaukts dvieļiem</t>
    </r>
    <r>
      <rPr>
        <sz val="11"/>
        <color theme="1"/>
        <rFont val="Times New Roman"/>
        <family val="1"/>
        <charset val="186"/>
      </rPr>
      <t xml:space="preserve"> , 1456 x 900* (a x h), gab</t>
    </r>
  </si>
  <si>
    <r>
      <t>M-4*</t>
    </r>
    <r>
      <rPr>
        <b/>
        <sz val="11"/>
        <rFont val="Times New Roman"/>
        <family val="1"/>
        <charset val="186"/>
      </rPr>
      <t xml:space="preserve">Lego galds, </t>
    </r>
    <r>
      <rPr>
        <sz val="11"/>
        <rFont val="Times New Roman"/>
        <family val="1"/>
        <charset val="186"/>
      </rPr>
      <t>d=1000 mm, h=540 mm</t>
    </r>
  </si>
  <si>
    <r>
      <rPr>
        <b/>
        <sz val="11"/>
        <color rgb="FF00B050"/>
        <rFont val="Times New Roman"/>
        <family val="1"/>
        <charset val="186"/>
      </rPr>
      <t xml:space="preserve">M-5* </t>
    </r>
    <r>
      <rPr>
        <b/>
        <sz val="11"/>
        <rFont val="Times New Roman"/>
        <family val="1"/>
        <charset val="186"/>
      </rPr>
      <t>Galds nodarbībām</t>
    </r>
    <r>
      <rPr>
        <sz val="11"/>
        <rFont val="Times New Roman"/>
        <family val="1"/>
        <charset val="186"/>
      </rPr>
      <t>, d=900 mm, h=540 mm</t>
    </r>
  </si>
  <si>
    <r>
      <t xml:space="preserve">M-13 </t>
    </r>
    <r>
      <rPr>
        <b/>
        <sz val="11"/>
        <rFont val="Times New Roman"/>
        <family val="1"/>
        <charset val="186"/>
      </rPr>
      <t xml:space="preserve">Bērnu krēsliņš, </t>
    </r>
    <r>
      <rPr>
        <sz val="11"/>
        <rFont val="Times New Roman"/>
        <family val="1"/>
        <charset val="186"/>
      </rPr>
      <t xml:space="preserve">LUCY 2, 360x320 mm, h=280 mm
</t>
    </r>
  </si>
  <si>
    <r>
      <t xml:space="preserve">M-13* </t>
    </r>
    <r>
      <rPr>
        <b/>
        <sz val="11"/>
        <rFont val="Times New Roman"/>
        <family val="1"/>
        <charset val="186"/>
      </rPr>
      <t xml:space="preserve">Bērnu krēsliņš, </t>
    </r>
    <r>
      <rPr>
        <sz val="11"/>
        <rFont val="Times New Roman"/>
        <family val="1"/>
        <charset val="186"/>
      </rPr>
      <t xml:space="preserve">LUCY 4, 410x370 mm, h=335 mm
</t>
    </r>
  </si>
  <si>
    <r>
      <rPr>
        <b/>
        <sz val="11"/>
        <color rgb="FF00B050"/>
        <rFont val="Times New Roman"/>
        <family val="1"/>
        <charset val="186"/>
      </rPr>
      <t xml:space="preserve">M-26 </t>
    </r>
    <r>
      <rPr>
        <b/>
        <sz val="11"/>
        <color theme="1"/>
        <rFont val="Times New Roman"/>
        <family val="1"/>
        <charset val="186"/>
      </rPr>
      <t xml:space="preserve">Darbinieka krēsls </t>
    </r>
    <r>
      <rPr>
        <sz val="11"/>
        <color theme="1"/>
        <rFont val="Times New Roman"/>
        <family val="1"/>
        <charset val="186"/>
      </rPr>
      <t>AKSIOMA, (RKF)</t>
    </r>
  </si>
  <si>
    <r>
      <rPr>
        <b/>
        <sz val="11"/>
        <color rgb="FF00B050"/>
        <rFont val="Times New Roman"/>
        <family val="1"/>
        <charset val="186"/>
      </rPr>
      <t xml:space="preserve">M-32 </t>
    </r>
    <r>
      <rPr>
        <b/>
        <sz val="11"/>
        <color theme="1"/>
        <rFont val="Times New Roman"/>
        <family val="1"/>
        <charset val="186"/>
      </rPr>
      <t xml:space="preserve">Smilšu kaste, </t>
    </r>
    <r>
      <rPr>
        <sz val="11"/>
        <color theme="1"/>
        <rFont val="Times New Roman"/>
        <family val="1"/>
        <charset val="186"/>
      </rPr>
      <t>1500 x 670 x 500 mm</t>
    </r>
  </si>
  <si>
    <r>
      <rPr>
        <b/>
        <sz val="11"/>
        <color rgb="FF00B050"/>
        <rFont val="Times New Roman"/>
        <family val="1"/>
        <charset val="186"/>
      </rPr>
      <t xml:space="preserve">M-33 </t>
    </r>
    <r>
      <rPr>
        <b/>
        <sz val="11"/>
        <color theme="1"/>
        <rFont val="Times New Roman"/>
        <family val="1"/>
        <charset val="186"/>
      </rPr>
      <t xml:space="preserve">Plaukts sīklietām, </t>
    </r>
    <r>
      <rPr>
        <sz val="11"/>
        <color theme="1"/>
        <rFont val="Times New Roman"/>
        <family val="1"/>
        <charset val="186"/>
      </rPr>
      <t>1000 x 200 x 100 mm</t>
    </r>
  </si>
  <si>
    <r>
      <rPr>
        <b/>
        <sz val="11"/>
        <color rgb="FF00B050"/>
        <rFont val="Times New Roman"/>
        <family val="1"/>
        <charset val="186"/>
      </rPr>
      <t>M-34</t>
    </r>
    <r>
      <rPr>
        <sz val="11"/>
        <color theme="1"/>
        <rFont val="Times New Roman"/>
        <family val="1"/>
        <charset val="186"/>
      </rPr>
      <t xml:space="preserve"> </t>
    </r>
    <r>
      <rPr>
        <b/>
        <sz val="11"/>
        <color theme="1"/>
        <rFont val="Times New Roman"/>
        <family val="1"/>
        <charset val="186"/>
      </rPr>
      <t xml:space="preserve">Arhīva plaukti
</t>
    </r>
    <r>
      <rPr>
        <sz val="11"/>
        <color theme="1"/>
        <rFont val="Times New Roman"/>
        <family val="1"/>
        <charset val="186"/>
      </rPr>
      <t>950 x 400 x 1970 mm (AJ Produkti)</t>
    </r>
  </si>
  <si>
    <r>
      <rPr>
        <b/>
        <sz val="11"/>
        <color rgb="FF00B050"/>
        <rFont val="Times New Roman"/>
        <family val="1"/>
        <charset val="186"/>
      </rPr>
      <t>M-35</t>
    </r>
    <r>
      <rPr>
        <b/>
        <sz val="11"/>
        <color theme="1"/>
        <rFont val="Times New Roman"/>
        <family val="1"/>
        <charset val="186"/>
      </rPr>
      <t xml:space="preserve"> Garderobes skapis </t>
    </r>
    <r>
      <rPr>
        <sz val="11"/>
        <color theme="1"/>
        <rFont val="Times New Roman"/>
        <family val="1"/>
        <charset val="186"/>
      </rPr>
      <t>(4 vietīgs)
1550 x 600 x 2200 mm</t>
    </r>
  </si>
  <si>
    <r>
      <rPr>
        <b/>
        <sz val="11"/>
        <color rgb="FF00B050"/>
        <rFont val="Times New Roman"/>
        <family val="1"/>
        <charset val="186"/>
      </rPr>
      <t>M-37</t>
    </r>
    <r>
      <rPr>
        <b/>
        <sz val="11"/>
        <color theme="1"/>
        <rFont val="Times New Roman"/>
        <family val="1"/>
        <charset val="186"/>
      </rPr>
      <t xml:space="preserve"> Darba galds</t>
    </r>
    <r>
      <rPr>
        <sz val="11"/>
        <color theme="1"/>
        <rFont val="Times New Roman"/>
        <family val="1"/>
        <charset val="186"/>
      </rPr>
      <t xml:space="preserve"> (ar 4 atvilktnēm), 1200 x 600 x 720 mm</t>
    </r>
  </si>
  <si>
    <r>
      <rPr>
        <b/>
        <sz val="11"/>
        <color rgb="FF00B050"/>
        <rFont val="Times New Roman"/>
        <family val="1"/>
        <charset val="186"/>
      </rPr>
      <t xml:space="preserve">M-42 </t>
    </r>
    <r>
      <rPr>
        <b/>
        <sz val="11"/>
        <color theme="1"/>
        <rFont val="Times New Roman"/>
        <family val="1"/>
        <charset val="186"/>
      </rPr>
      <t xml:space="preserve">Virtuves mēbele, </t>
    </r>
    <r>
      <rPr>
        <sz val="11"/>
        <color theme="1"/>
        <rFont val="Times New Roman"/>
        <family val="1"/>
        <charset val="186"/>
      </rPr>
      <t>2300 x 600 mm</t>
    </r>
  </si>
  <si>
    <r>
      <rPr>
        <b/>
        <sz val="11"/>
        <color rgb="FF00B050"/>
        <rFont val="Times New Roman"/>
        <family val="1"/>
        <charset val="186"/>
      </rPr>
      <t xml:space="preserve">M-43 </t>
    </r>
    <r>
      <rPr>
        <b/>
        <sz val="11"/>
        <color theme="1"/>
        <rFont val="Times New Roman"/>
        <family val="1"/>
        <charset val="186"/>
      </rPr>
      <t xml:space="preserve">Virtuves komplekts </t>
    </r>
    <r>
      <rPr>
        <sz val="11"/>
        <color theme="1"/>
        <rFont val="Times New Roman"/>
        <family val="1"/>
        <charset val="186"/>
      </rPr>
      <t>(galds + 4 krēsli)
Peppita (Halmar)</t>
    </r>
  </si>
  <si>
    <r>
      <rPr>
        <b/>
        <sz val="11"/>
        <color rgb="FF00B050"/>
        <rFont val="Times New Roman"/>
        <family val="1"/>
        <charset val="186"/>
      </rPr>
      <t xml:space="preserve">M-44 </t>
    </r>
    <r>
      <rPr>
        <b/>
        <sz val="11"/>
        <color theme="1"/>
        <rFont val="Times New Roman"/>
        <family val="1"/>
        <charset val="186"/>
      </rPr>
      <t xml:space="preserve">Galds prezentācijas vadītājam, </t>
    </r>
    <r>
      <rPr>
        <sz val="11"/>
        <color theme="1"/>
        <rFont val="Times New Roman"/>
        <family val="1"/>
        <charset val="186"/>
      </rPr>
      <t>1000 x 600 x 720 mm</t>
    </r>
  </si>
  <si>
    <r>
      <rPr>
        <b/>
        <sz val="11"/>
        <color rgb="FF00B050"/>
        <rFont val="Times New Roman"/>
        <family val="1"/>
        <charset val="186"/>
      </rPr>
      <t xml:space="preserve">M-48 </t>
    </r>
    <r>
      <rPr>
        <b/>
        <sz val="11"/>
        <color theme="1"/>
        <rFont val="Times New Roman"/>
        <family val="1"/>
        <charset val="186"/>
      </rPr>
      <t xml:space="preserve">Dīvāns, ZEETA ZED2, </t>
    </r>
    <r>
      <rPr>
        <sz val="11"/>
        <color theme="1"/>
        <rFont val="Times New Roman"/>
        <family val="1"/>
        <charset val="186"/>
      </rPr>
      <t>1300 x 670 x 440/ 740 mm (STANDARD)</t>
    </r>
  </si>
  <si>
    <r>
      <rPr>
        <b/>
        <sz val="11"/>
        <color rgb="FF00B050"/>
        <rFont val="Times New Roman"/>
        <family val="1"/>
        <charset val="186"/>
      </rPr>
      <t xml:space="preserve">M-49 </t>
    </r>
    <r>
      <rPr>
        <b/>
        <sz val="11"/>
        <color theme="1"/>
        <rFont val="Times New Roman"/>
        <family val="1"/>
        <charset val="186"/>
      </rPr>
      <t xml:space="preserve">Konferenču galds, </t>
    </r>
    <r>
      <rPr>
        <sz val="11"/>
        <color theme="1"/>
        <rFont val="Times New Roman"/>
        <family val="1"/>
        <charset val="186"/>
      </rPr>
      <t>FORUM 2400x1000 mm (STANDARD)</t>
    </r>
  </si>
  <si>
    <r>
      <rPr>
        <b/>
        <sz val="11"/>
        <color rgb="FF00B050"/>
        <rFont val="Times New Roman"/>
        <family val="1"/>
        <charset val="186"/>
      </rPr>
      <t xml:space="preserve">M-50 </t>
    </r>
    <r>
      <rPr>
        <b/>
        <sz val="11"/>
        <color theme="1"/>
        <rFont val="Times New Roman"/>
        <family val="1"/>
        <charset val="186"/>
      </rPr>
      <t xml:space="preserve">Žurnālgaldiņš ZEETA ZED L01, </t>
    </r>
    <r>
      <rPr>
        <sz val="11"/>
        <color theme="1"/>
        <rFont val="Times New Roman"/>
        <family val="1"/>
        <charset val="186"/>
      </rPr>
      <t>700 x 670 x 380 mm (STANDARD)</t>
    </r>
  </si>
  <si>
    <r>
      <rPr>
        <b/>
        <sz val="11"/>
        <color rgb="FF00B050"/>
        <rFont val="Times New Roman"/>
        <family val="1"/>
        <charset val="186"/>
      </rPr>
      <t xml:space="preserve">M-51 </t>
    </r>
    <r>
      <rPr>
        <b/>
        <sz val="11"/>
        <color theme="1"/>
        <rFont val="Times New Roman"/>
        <family val="1"/>
        <charset val="186"/>
      </rPr>
      <t>"Zviedru" (vingrošanas) siena</t>
    </r>
  </si>
  <si>
    <t>Sanmezlu mēb.</t>
  </si>
  <si>
    <r>
      <rPr>
        <b/>
        <sz val="10"/>
        <color theme="1"/>
        <rFont val="Times New Roman"/>
        <family val="1"/>
        <charset val="186"/>
      </rPr>
      <t xml:space="preserve">Infrasarkanais jaucējkrāns izlietnei  </t>
    </r>
    <r>
      <rPr>
        <sz val="10"/>
        <color theme="1"/>
        <rFont val="Times New Roman"/>
        <family val="1"/>
        <charset val="186"/>
      </rPr>
      <t xml:space="preserve">
Euroeco CE (GROHE)</t>
    </r>
  </si>
  <si>
    <r>
      <rPr>
        <b/>
        <sz val="10"/>
        <color theme="1"/>
        <rFont val="Times New Roman"/>
        <family val="1"/>
        <charset val="186"/>
      </rPr>
      <t>Jaucējkrāns izlietnei</t>
    </r>
    <r>
      <rPr>
        <sz val="10"/>
        <color theme="1"/>
        <rFont val="Times New Roman"/>
        <family val="1"/>
        <charset val="186"/>
      </rPr>
      <t xml:space="preserve">
BauEdge (GROHE)</t>
    </r>
  </si>
  <si>
    <r>
      <rPr>
        <b/>
        <sz val="10"/>
        <color theme="1"/>
        <rFont val="Times New Roman"/>
        <family val="1"/>
        <charset val="186"/>
      </rPr>
      <t>Jaucējkrāns saimniecības izlietnei,</t>
    </r>
    <r>
      <rPr>
        <sz val="10"/>
        <color theme="1"/>
        <rFont val="Times New Roman"/>
        <family val="1"/>
        <charset val="186"/>
      </rPr>
      <t>Panther 1082 (FARIS)</t>
    </r>
  </si>
  <si>
    <r>
      <rPr>
        <b/>
        <sz val="10"/>
        <color theme="1"/>
        <rFont val="Times New Roman"/>
        <family val="1"/>
        <charset val="186"/>
      </rPr>
      <t xml:space="preserve">Jaucējkrāns </t>
    </r>
    <r>
      <rPr>
        <sz val="10"/>
        <color theme="1"/>
        <rFont val="Times New Roman"/>
        <family val="1"/>
        <charset val="186"/>
      </rPr>
      <t>(invalīdu), Nautic RH sviru, (Gustavsberg)</t>
    </r>
  </si>
  <si>
    <r>
      <rPr>
        <b/>
        <sz val="10"/>
        <color theme="1"/>
        <rFont val="Times New Roman"/>
        <family val="1"/>
        <charset val="186"/>
      </rPr>
      <t xml:space="preserve">Dušas maisītājs </t>
    </r>
    <r>
      <rPr>
        <sz val="10"/>
        <color theme="1"/>
        <rFont val="Times New Roman"/>
        <family val="1"/>
        <charset val="186"/>
      </rPr>
      <t>BauEdge 23333, (GROHE)</t>
    </r>
  </si>
  <si>
    <r>
      <rPr>
        <b/>
        <sz val="10"/>
        <color theme="1"/>
        <rFont val="Times New Roman"/>
        <family val="1"/>
        <charset val="186"/>
      </rPr>
      <t xml:space="preserve">Dušas galva ar dušas stieni </t>
    </r>
    <r>
      <rPr>
        <sz val="10"/>
        <color theme="1"/>
        <rFont val="Times New Roman"/>
        <family val="1"/>
        <charset val="186"/>
      </rPr>
      <t>New tempesta 7926000, dušas stienis- 600 mm (GROHE)</t>
    </r>
  </si>
  <si>
    <r>
      <rPr>
        <b/>
        <sz val="10"/>
        <color theme="1"/>
        <rFont val="Times New Roman"/>
        <family val="1"/>
        <charset val="186"/>
      </rPr>
      <t xml:space="preserve">Izlietne </t>
    </r>
    <r>
      <rPr>
        <sz val="10"/>
        <color theme="1"/>
        <rFont val="Times New Roman"/>
        <family val="1"/>
        <charset val="186"/>
      </rPr>
      <t>(bērnu), 1750 x 400 mm, 3 vietīga, materiāls- koriāns, (sk. rasējumu)</t>
    </r>
  </si>
  <si>
    <r>
      <rPr>
        <b/>
        <sz val="10"/>
        <color theme="1"/>
        <rFont val="Times New Roman"/>
        <family val="1"/>
        <charset val="186"/>
      </rPr>
      <t xml:space="preserve">Izlietne </t>
    </r>
    <r>
      <rPr>
        <sz val="10"/>
        <color theme="1"/>
        <rFont val="Times New Roman"/>
        <family val="1"/>
        <charset val="186"/>
      </rPr>
      <t>(bērnu), 1900 x 400 mm, 3 vietīga, materiāls- koriāns, (sk. rasējumu)</t>
    </r>
  </si>
  <si>
    <r>
      <rPr>
        <b/>
        <sz val="10"/>
        <color theme="1"/>
        <rFont val="Times New Roman"/>
        <family val="1"/>
        <charset val="186"/>
      </rPr>
      <t xml:space="preserve">Izlietne </t>
    </r>
    <r>
      <rPr>
        <sz val="10"/>
        <color theme="1"/>
        <rFont val="Times New Roman"/>
        <family val="1"/>
        <charset val="186"/>
      </rPr>
      <t>(bērnu), 2350 x 400 mm, 4 vietīga, materiāls- koriāns, (sk. rasējumu)</t>
    </r>
  </si>
  <si>
    <r>
      <rPr>
        <b/>
        <sz val="10"/>
        <color theme="1"/>
        <rFont val="Times New Roman"/>
        <family val="1"/>
        <charset val="186"/>
      </rPr>
      <t xml:space="preserve">Izlietne </t>
    </r>
    <r>
      <rPr>
        <sz val="10"/>
        <color theme="1"/>
        <rFont val="Times New Roman"/>
        <family val="1"/>
        <charset val="186"/>
      </rPr>
      <t xml:space="preserve">(pieaugušo, grupas)- </t>
    </r>
    <r>
      <rPr>
        <b/>
        <sz val="10"/>
        <color theme="1"/>
        <rFont val="Times New Roman"/>
        <family val="1"/>
        <charset val="186"/>
      </rPr>
      <t>labā,</t>
    </r>
    <r>
      <rPr>
        <sz val="10"/>
        <color theme="1"/>
        <rFont val="Times New Roman"/>
        <family val="1"/>
        <charset val="186"/>
      </rPr>
      <t xml:space="preserve">
Sign Art 7472, 920 x 520 mm, (Ifo)
</t>
    </r>
  </si>
  <si>
    <r>
      <rPr>
        <b/>
        <sz val="10"/>
        <color theme="1"/>
        <rFont val="Times New Roman"/>
        <family val="1"/>
        <charset val="186"/>
      </rPr>
      <t xml:space="preserve">Izlietne </t>
    </r>
    <r>
      <rPr>
        <sz val="10"/>
        <color theme="1"/>
        <rFont val="Times New Roman"/>
        <family val="1"/>
        <charset val="186"/>
      </rPr>
      <t xml:space="preserve">(pieaugušo, grupas)- </t>
    </r>
    <r>
      <rPr>
        <b/>
        <sz val="10"/>
        <color theme="1"/>
        <rFont val="Times New Roman"/>
        <family val="1"/>
        <charset val="186"/>
      </rPr>
      <t>kreisā,</t>
    </r>
    <r>
      <rPr>
        <sz val="10"/>
        <color theme="1"/>
        <rFont val="Times New Roman"/>
        <family val="1"/>
        <charset val="186"/>
      </rPr>
      <t xml:space="preserve">
Sign Art 7472, 920 x 520 mm, (Ifo)
</t>
    </r>
  </si>
  <si>
    <r>
      <rPr>
        <b/>
        <sz val="10"/>
        <color theme="1"/>
        <rFont val="Times New Roman"/>
        <family val="1"/>
        <charset val="186"/>
      </rPr>
      <t xml:space="preserve">Izlietne </t>
    </r>
    <r>
      <rPr>
        <sz val="10"/>
        <color theme="1"/>
        <rFont val="Times New Roman"/>
        <family val="1"/>
        <charset val="186"/>
      </rPr>
      <t xml:space="preserve">(pieaugušo, grupas)- </t>
    </r>
    <r>
      <rPr>
        <b/>
        <sz val="10"/>
        <color theme="1"/>
        <rFont val="Times New Roman"/>
        <family val="1"/>
        <charset val="186"/>
      </rPr>
      <t>labā</t>
    </r>
    <r>
      <rPr>
        <sz val="10"/>
        <color theme="1"/>
        <rFont val="Times New Roman"/>
        <family val="1"/>
        <charset val="186"/>
      </rPr>
      <t xml:space="preserve">,
Sign Art Compact 7432, 920 x 420 mm (Ifo)
</t>
    </r>
  </si>
  <si>
    <r>
      <rPr>
        <b/>
        <sz val="10"/>
        <color theme="1"/>
        <rFont val="Times New Roman"/>
        <family val="1"/>
        <charset val="186"/>
      </rPr>
      <t xml:space="preserve">Izlietne </t>
    </r>
    <r>
      <rPr>
        <sz val="10"/>
        <color theme="1"/>
        <rFont val="Times New Roman"/>
        <family val="1"/>
        <charset val="186"/>
      </rPr>
      <t xml:space="preserve">(pieaugušo, grupas)- </t>
    </r>
    <r>
      <rPr>
        <b/>
        <sz val="10"/>
        <color theme="1"/>
        <rFont val="Times New Roman"/>
        <family val="1"/>
        <charset val="186"/>
      </rPr>
      <t>kreisā</t>
    </r>
    <r>
      <rPr>
        <sz val="10"/>
        <color theme="1"/>
        <rFont val="Times New Roman"/>
        <family val="1"/>
        <charset val="186"/>
      </rPr>
      <t xml:space="preserve">,
Sign Art Compact 7432, 920 x 420 mm (Ifo)
</t>
    </r>
  </si>
  <si>
    <r>
      <rPr>
        <b/>
        <sz val="10"/>
        <color theme="1"/>
        <rFont val="Times New Roman"/>
        <family val="1"/>
        <charset val="186"/>
      </rPr>
      <t>Izlietne</t>
    </r>
    <r>
      <rPr>
        <sz val="10"/>
        <color theme="1"/>
        <rFont val="Times New Roman"/>
        <family val="1"/>
        <charset val="186"/>
      </rPr>
      <t xml:space="preserve"> (pieaugušo)
D-Code, 45x34 cm, ar puskāju (Duravit)</t>
    </r>
  </si>
  <si>
    <r>
      <rPr>
        <b/>
        <sz val="10"/>
        <color theme="1"/>
        <rFont val="Times New Roman"/>
        <family val="1"/>
        <charset val="186"/>
      </rPr>
      <t>Saimniecības izlietne</t>
    </r>
    <r>
      <rPr>
        <sz val="10"/>
        <color theme="1"/>
        <rFont val="Times New Roman"/>
        <family val="1"/>
        <charset val="186"/>
      </rPr>
      <t xml:space="preserve"> Ottawa, 450 x 550 mm, (REGINOX)</t>
    </r>
  </si>
  <si>
    <r>
      <rPr>
        <b/>
        <sz val="10"/>
        <color theme="1"/>
        <rFont val="Times New Roman"/>
        <family val="1"/>
        <charset val="186"/>
      </rPr>
      <t xml:space="preserve">Invalīdu izlietne, </t>
    </r>
    <r>
      <rPr>
        <sz val="10"/>
        <color theme="1"/>
        <rFont val="Times New Roman"/>
        <family val="1"/>
        <charset val="186"/>
      </rPr>
      <t>60x49 GBG 7119, (Gustavsberg)</t>
    </r>
  </si>
  <si>
    <r>
      <rPr>
        <b/>
        <sz val="10"/>
        <color theme="1"/>
        <rFont val="Times New Roman"/>
        <family val="1"/>
        <charset val="186"/>
      </rPr>
      <t xml:space="preserve">Dušas paliktnis, </t>
    </r>
    <r>
      <rPr>
        <sz val="10"/>
        <color theme="1"/>
        <rFont val="Times New Roman"/>
        <family val="1"/>
        <charset val="186"/>
      </rPr>
      <t>SEMIDEEP NEO 800, (Roltechnik)</t>
    </r>
  </si>
  <si>
    <r>
      <rPr>
        <b/>
        <sz val="10"/>
        <color theme="1"/>
        <rFont val="Times New Roman"/>
        <family val="1"/>
        <charset val="186"/>
      </rPr>
      <t xml:space="preserve">Dušas plaiktnis, </t>
    </r>
    <r>
      <rPr>
        <sz val="10"/>
        <color theme="1"/>
        <rFont val="Times New Roman"/>
        <family val="1"/>
        <charset val="186"/>
      </rPr>
      <t xml:space="preserve">OLYMP 211823, 1000 x 1000 x 80 mm, (JIKA)
</t>
    </r>
  </si>
  <si>
    <r>
      <rPr>
        <b/>
        <sz val="10"/>
        <color theme="1"/>
        <rFont val="Times New Roman"/>
        <family val="1"/>
        <charset val="186"/>
      </rPr>
      <t xml:space="preserve">Piekaramais klozetpods, </t>
    </r>
    <r>
      <rPr>
        <sz val="10"/>
        <color theme="1"/>
        <rFont val="Times New Roman"/>
        <family val="1"/>
        <charset val="186"/>
      </rPr>
      <t>FLORAKIDS 820031 ar sēdriņķi RED (Laufen)</t>
    </r>
  </si>
  <si>
    <r>
      <rPr>
        <b/>
        <sz val="10"/>
        <color theme="1"/>
        <rFont val="Times New Roman"/>
        <family val="1"/>
        <charset val="186"/>
      </rPr>
      <t>WC pods</t>
    </r>
    <r>
      <rPr>
        <sz val="10"/>
        <color theme="1"/>
        <rFont val="Times New Roman"/>
        <family val="1"/>
        <charset val="186"/>
      </rPr>
      <t>, (piekarams) O.novo (Villeroy&amp;Boch)</t>
    </r>
  </si>
  <si>
    <r>
      <rPr>
        <b/>
        <sz val="10"/>
        <color theme="1"/>
        <rFont val="Times New Roman"/>
        <family val="1"/>
        <charset val="186"/>
      </rPr>
      <t xml:space="preserve">WC pods </t>
    </r>
    <r>
      <rPr>
        <sz val="10"/>
        <color theme="1"/>
        <rFont val="Times New Roman"/>
        <family val="1"/>
        <charset val="186"/>
      </rPr>
      <t>(piekarams, invalīdu), OLYMP, (Jika)</t>
    </r>
  </si>
  <si>
    <r>
      <rPr>
        <b/>
        <sz val="10"/>
        <color theme="1"/>
        <rFont val="Times New Roman"/>
        <family val="1"/>
        <charset val="186"/>
      </rPr>
      <t>Iebūvējamais WC poda rāmis</t>
    </r>
    <r>
      <rPr>
        <sz val="10"/>
        <color theme="1"/>
        <rFont val="Times New Roman"/>
        <family val="1"/>
        <charset val="186"/>
      </rPr>
      <t xml:space="preserve">
Duofix 112 cm, 458.160.00.1 (GEBERIT)</t>
    </r>
  </si>
  <si>
    <r>
      <rPr>
        <b/>
        <sz val="10"/>
        <color theme="1"/>
        <rFont val="Times New Roman"/>
        <family val="1"/>
        <charset val="186"/>
      </rPr>
      <t>Iebūvējama WC skalojamā kaste</t>
    </r>
    <r>
      <rPr>
        <sz val="10"/>
        <color theme="1"/>
        <rFont val="Times New Roman"/>
        <family val="1"/>
        <charset val="186"/>
      </rPr>
      <t xml:space="preserve"> 
Sigma, UP320 109.300.00.5 (GEBERIT)
</t>
    </r>
  </si>
  <si>
    <r>
      <rPr>
        <b/>
        <sz val="10"/>
        <color theme="1"/>
        <rFont val="Times New Roman"/>
        <family val="1"/>
        <charset val="186"/>
      </rPr>
      <t>WC skalojamās kastes noplūdes taustiņš</t>
    </r>
    <r>
      <rPr>
        <sz val="10"/>
        <color theme="1"/>
        <rFont val="Times New Roman"/>
        <family val="1"/>
        <charset val="186"/>
      </rPr>
      <t xml:space="preserve">
DELTA 21, 115.125.11.1 (GEBERIT)</t>
    </r>
  </si>
  <si>
    <r>
      <rPr>
        <b/>
        <sz val="10"/>
        <color theme="1"/>
        <rFont val="Times New Roman"/>
        <family val="1"/>
        <charset val="186"/>
      </rPr>
      <t xml:space="preserve">Paceļams WC sienas roku atbalsts invalīdiem </t>
    </r>
    <r>
      <rPr>
        <sz val="10"/>
        <color theme="1"/>
        <rFont val="Times New Roman"/>
        <family val="1"/>
        <charset val="186"/>
      </rPr>
      <t>98058, (IFO)</t>
    </r>
  </si>
  <si>
    <r>
      <rPr>
        <b/>
        <sz val="10"/>
        <color theme="1"/>
        <rFont val="Times New Roman"/>
        <family val="1"/>
        <charset val="186"/>
      </rPr>
      <t>WC sienas roku atblasts invalīdiem</t>
    </r>
    <r>
      <rPr>
        <sz val="10"/>
        <color theme="1"/>
        <rFont val="Times New Roman"/>
        <family val="1"/>
        <charset val="186"/>
      </rPr>
      <t xml:space="preserve">
 681mm balts BR0600, (Mediclinics)</t>
    </r>
  </si>
  <si>
    <r>
      <rPr>
        <b/>
        <sz val="11"/>
        <color theme="1"/>
        <rFont val="Times New Roman"/>
        <family val="1"/>
        <charset val="186"/>
      </rPr>
      <t xml:space="preserve">Jaucējkrāns izlietnei, </t>
    </r>
    <r>
      <rPr>
        <sz val="11"/>
        <color theme="1"/>
        <rFont val="Times New Roman"/>
        <family val="1"/>
        <charset val="186"/>
      </rPr>
      <t>BauEdge (GROHE)</t>
    </r>
  </si>
  <si>
    <r>
      <rPr>
        <b/>
        <sz val="11"/>
        <color theme="1"/>
        <rFont val="Times New Roman"/>
        <family val="1"/>
        <charset val="186"/>
      </rPr>
      <t xml:space="preserve">Jaucējkrāns </t>
    </r>
    <r>
      <rPr>
        <sz val="11"/>
        <color theme="1"/>
        <rFont val="Times New Roman"/>
        <family val="1"/>
        <charset val="186"/>
      </rPr>
      <t>(invalīdu)
Nautic RH sviru  (Gustavsberg)</t>
    </r>
  </si>
  <si>
    <r>
      <rPr>
        <b/>
        <sz val="11"/>
        <color theme="1"/>
        <rFont val="Times New Roman"/>
        <family val="1"/>
        <charset val="186"/>
      </rPr>
      <t xml:space="preserve">Dušas maisītājs </t>
    </r>
    <r>
      <rPr>
        <sz val="11"/>
        <color theme="1"/>
        <rFont val="Times New Roman"/>
        <family val="1"/>
        <charset val="186"/>
      </rPr>
      <t>BauEdge 23333  (GROHE)</t>
    </r>
  </si>
  <si>
    <r>
      <rPr>
        <b/>
        <sz val="11"/>
        <color theme="1"/>
        <rFont val="Times New Roman"/>
        <family val="1"/>
        <charset val="186"/>
      </rPr>
      <t xml:space="preserve">Dušas galva ar dušas stieni, </t>
    </r>
    <r>
      <rPr>
        <sz val="11"/>
        <color theme="1"/>
        <rFont val="Times New Roman"/>
        <family val="1"/>
        <charset val="186"/>
      </rPr>
      <t>New tempesta 7926000, dušas stienis- 600 mm (GROHE)</t>
    </r>
  </si>
  <si>
    <r>
      <rPr>
        <b/>
        <sz val="11"/>
        <color theme="1"/>
        <rFont val="Times New Roman"/>
        <family val="1"/>
        <charset val="186"/>
      </rPr>
      <t xml:space="preserve">Izlietne </t>
    </r>
    <r>
      <rPr>
        <sz val="11"/>
        <color theme="1"/>
        <rFont val="Times New Roman"/>
        <family val="1"/>
        <charset val="186"/>
      </rPr>
      <t xml:space="preserve">(pieaugušo, grupas)- </t>
    </r>
    <r>
      <rPr>
        <b/>
        <sz val="11"/>
        <color theme="1"/>
        <rFont val="Times New Roman"/>
        <family val="1"/>
        <charset val="186"/>
      </rPr>
      <t>labā,</t>
    </r>
    <r>
      <rPr>
        <sz val="11"/>
        <color theme="1"/>
        <rFont val="Times New Roman"/>
        <family val="1"/>
        <charset val="186"/>
      </rPr>
      <t xml:space="preserve">
Sign Art 7472, 920 x 520 mm, (Ifo)</t>
    </r>
  </si>
  <si>
    <r>
      <rPr>
        <b/>
        <sz val="11"/>
        <color theme="1"/>
        <rFont val="Times New Roman"/>
        <family val="1"/>
        <charset val="186"/>
      </rPr>
      <t xml:space="preserve">Izlietne </t>
    </r>
    <r>
      <rPr>
        <sz val="11"/>
        <color theme="1"/>
        <rFont val="Times New Roman"/>
        <family val="1"/>
        <charset val="186"/>
      </rPr>
      <t xml:space="preserve">(pieaugušo, grupas)- </t>
    </r>
    <r>
      <rPr>
        <b/>
        <sz val="11"/>
        <color theme="1"/>
        <rFont val="Times New Roman"/>
        <family val="1"/>
        <charset val="186"/>
      </rPr>
      <t>kreisā,</t>
    </r>
    <r>
      <rPr>
        <sz val="11"/>
        <color theme="1"/>
        <rFont val="Times New Roman"/>
        <family val="1"/>
        <charset val="186"/>
      </rPr>
      <t xml:space="preserve">
Sign Art 7472, 920 x 520 mm, (Ifo)</t>
    </r>
  </si>
  <si>
    <r>
      <rPr>
        <b/>
        <sz val="11"/>
        <color theme="1"/>
        <rFont val="Times New Roman"/>
        <family val="1"/>
        <charset val="186"/>
      </rPr>
      <t xml:space="preserve">Izlietne </t>
    </r>
    <r>
      <rPr>
        <sz val="11"/>
        <color theme="1"/>
        <rFont val="Times New Roman"/>
        <family val="1"/>
        <charset val="186"/>
      </rPr>
      <t xml:space="preserve">(pieaugušo, grupas)- </t>
    </r>
    <r>
      <rPr>
        <b/>
        <sz val="11"/>
        <color theme="1"/>
        <rFont val="Times New Roman"/>
        <family val="1"/>
        <charset val="186"/>
      </rPr>
      <t>labā</t>
    </r>
    <r>
      <rPr>
        <sz val="11"/>
        <color theme="1"/>
        <rFont val="Times New Roman"/>
        <family val="1"/>
        <charset val="186"/>
      </rPr>
      <t>,
Sign Art Compact 7432, 920 x 420 mm (Ifo)</t>
    </r>
  </si>
  <si>
    <r>
      <rPr>
        <b/>
        <sz val="11"/>
        <color theme="1"/>
        <rFont val="Times New Roman"/>
        <family val="1"/>
        <charset val="186"/>
      </rPr>
      <t xml:space="preserve">Izlietne </t>
    </r>
    <r>
      <rPr>
        <sz val="11"/>
        <color theme="1"/>
        <rFont val="Times New Roman"/>
        <family val="1"/>
        <charset val="186"/>
      </rPr>
      <t xml:space="preserve">(pieaugušo, grupas)- </t>
    </r>
    <r>
      <rPr>
        <b/>
        <sz val="11"/>
        <color theme="1"/>
        <rFont val="Times New Roman"/>
        <family val="1"/>
        <charset val="186"/>
      </rPr>
      <t>kreisā</t>
    </r>
    <r>
      <rPr>
        <sz val="11"/>
        <color theme="1"/>
        <rFont val="Times New Roman"/>
        <family val="1"/>
        <charset val="186"/>
      </rPr>
      <t>,
Sign Art Compact 7432, 920 x 420 mm (Ifo)</t>
    </r>
  </si>
  <si>
    <r>
      <rPr>
        <b/>
        <sz val="11"/>
        <color theme="1"/>
        <rFont val="Times New Roman"/>
        <family val="1"/>
        <charset val="186"/>
      </rPr>
      <t xml:space="preserve">Dušas plaiktnis, </t>
    </r>
    <r>
      <rPr>
        <sz val="11"/>
        <color theme="1"/>
        <rFont val="Times New Roman"/>
        <family val="1"/>
        <charset val="186"/>
      </rPr>
      <t>OLYMP 211823, 1000 x 1000 x 80 mm, (JIKA)</t>
    </r>
  </si>
  <si>
    <r>
      <rPr>
        <b/>
        <sz val="11"/>
        <color theme="1"/>
        <rFont val="Times New Roman"/>
        <family val="1"/>
        <charset val="186"/>
      </rPr>
      <t xml:space="preserve">Pisuārs </t>
    </r>
    <r>
      <rPr>
        <sz val="11"/>
        <color theme="1"/>
        <rFont val="Times New Roman"/>
        <family val="1"/>
        <charset val="186"/>
      </rPr>
      <t>ar iekšējo ūdens pievadu, Livo 840200, (JIKA)</t>
    </r>
  </si>
  <si>
    <r>
      <rPr>
        <b/>
        <sz val="11"/>
        <color theme="1"/>
        <rFont val="Times New Roman"/>
        <family val="1"/>
        <charset val="186"/>
      </rPr>
      <t xml:space="preserve">WC pods </t>
    </r>
    <r>
      <rPr>
        <sz val="11"/>
        <color theme="1"/>
        <rFont val="Times New Roman"/>
        <family val="1"/>
        <charset val="186"/>
      </rPr>
      <t>(piekarams, invalīdu) OLYMP, (Jika)</t>
    </r>
  </si>
  <si>
    <r>
      <rPr>
        <b/>
        <sz val="11"/>
        <color theme="1"/>
        <rFont val="Times New Roman"/>
        <family val="1"/>
        <charset val="186"/>
      </rPr>
      <t>Iebūvējama WC skalojamā kaste</t>
    </r>
    <r>
      <rPr>
        <sz val="11"/>
        <color theme="1"/>
        <rFont val="Times New Roman"/>
        <family val="1"/>
        <charset val="186"/>
      </rPr>
      <t xml:space="preserve"> 
Sigma, UP320 109.300.00.5 (GEBERIT)</t>
    </r>
  </si>
  <si>
    <r>
      <rPr>
        <b/>
        <sz val="11"/>
        <color theme="1"/>
        <rFont val="Times New Roman"/>
        <family val="1"/>
        <charset val="186"/>
      </rPr>
      <t>Iebūvējamais pisuāra rāmis</t>
    </r>
    <r>
      <rPr>
        <sz val="11"/>
        <color theme="1"/>
        <rFont val="Times New Roman"/>
        <family val="1"/>
        <charset val="186"/>
      </rPr>
      <t xml:space="preserve">
Duofix 112 cm, 111.616.00.1 (GEBERIT)</t>
    </r>
  </si>
  <si>
    <r>
      <rPr>
        <b/>
        <sz val="11"/>
        <color theme="1"/>
        <rFont val="Times New Roman"/>
        <family val="1"/>
        <charset val="186"/>
      </rPr>
      <t xml:space="preserve">Paceļams WC sienas roku atbalsts invalīdiem </t>
    </r>
    <r>
      <rPr>
        <sz val="11"/>
        <color theme="1"/>
        <rFont val="Times New Roman"/>
        <family val="1"/>
        <charset val="186"/>
      </rPr>
      <t>98058  (IFO)</t>
    </r>
  </si>
  <si>
    <r>
      <rPr>
        <b/>
        <sz val="11"/>
        <color theme="1"/>
        <rFont val="Times New Roman"/>
        <family val="1"/>
        <charset val="186"/>
      </rPr>
      <t>WC sienas roku atblasts invalīdiem</t>
    </r>
    <r>
      <rPr>
        <sz val="11"/>
        <color theme="1"/>
        <rFont val="Times New Roman"/>
        <family val="1"/>
        <charset val="186"/>
      </rPr>
      <t xml:space="preserve">
 681mm balts BR0600 (Mediclinics)</t>
    </r>
  </si>
  <si>
    <r>
      <t>Gaismekļi, m</t>
    </r>
    <r>
      <rPr>
        <b/>
        <vertAlign val="superscript"/>
        <sz val="10"/>
        <color theme="1"/>
        <rFont val="Times New Roman"/>
        <family val="1"/>
        <charset val="186"/>
      </rPr>
      <t>2</t>
    </r>
  </si>
  <si>
    <r>
      <rPr>
        <b/>
        <sz val="10"/>
        <color theme="1"/>
        <rFont val="Times New Roman"/>
        <family val="1"/>
        <charset val="186"/>
      </rPr>
      <t xml:space="preserve">Gruntēšana, </t>
    </r>
    <r>
      <rPr>
        <b/>
        <u/>
        <sz val="10"/>
        <color theme="1"/>
        <rFont val="Times New Roman"/>
        <family val="1"/>
        <charset val="186"/>
      </rPr>
      <t>mitrumizturīgs</t>
    </r>
    <r>
      <rPr>
        <b/>
        <sz val="10"/>
        <color theme="1"/>
        <rFont val="Times New Roman"/>
        <family val="1"/>
        <charset val="186"/>
      </rPr>
      <t xml:space="preserve"> krāsojums </t>
    </r>
    <r>
      <rPr>
        <sz val="10"/>
        <color theme="1"/>
        <rFont val="Times New Roman"/>
        <family val="1"/>
        <charset val="186"/>
      </rPr>
      <t>uz monolītā dzelzsbetona, tonis- balts, m</t>
    </r>
    <r>
      <rPr>
        <vertAlign val="superscript"/>
        <sz val="10"/>
        <color theme="1"/>
        <rFont val="Times New Roman"/>
        <family val="1"/>
        <charset val="186"/>
      </rPr>
      <t>3</t>
    </r>
    <r>
      <rPr>
        <sz val="11"/>
        <color theme="1"/>
        <rFont val="Calibri"/>
        <family val="2"/>
        <scheme val="minor"/>
      </rPr>
      <t/>
    </r>
  </si>
  <si>
    <r>
      <rPr>
        <b/>
        <sz val="10"/>
        <color theme="1"/>
        <rFont val="Times New Roman"/>
        <family val="1"/>
        <charset val="186"/>
      </rPr>
      <t>Piekārtās griestu plātnes</t>
    </r>
    <r>
      <rPr>
        <sz val="10"/>
        <color theme="1"/>
        <rFont val="Times New Roman"/>
        <family val="1"/>
        <charset val="186"/>
      </rPr>
      <t xml:space="preserve"> Thermatex FEINTRATOS GEN. AW/GN 600x600x19 mm (AMF Knauf), m</t>
    </r>
    <r>
      <rPr>
        <vertAlign val="superscript"/>
        <sz val="10"/>
        <color theme="1"/>
        <rFont val="Times New Roman"/>
        <family val="1"/>
        <charset val="186"/>
      </rPr>
      <t>2</t>
    </r>
  </si>
  <si>
    <r>
      <rPr>
        <b/>
        <sz val="10"/>
        <color theme="1"/>
        <rFont val="Times New Roman"/>
        <family val="1"/>
        <charset val="186"/>
      </rPr>
      <t>Piekārtās griestu plātnes</t>
    </r>
    <r>
      <rPr>
        <sz val="10"/>
        <color theme="1"/>
        <rFont val="Times New Roman"/>
        <family val="1"/>
        <charset val="186"/>
      </rPr>
      <t xml:space="preserve"> Thermatex ALPHA HD AW/GN 600 x 600 x 19 mm (AMF Knauf), m</t>
    </r>
    <r>
      <rPr>
        <vertAlign val="superscript"/>
        <sz val="10"/>
        <color theme="1"/>
        <rFont val="Times New Roman"/>
        <family val="1"/>
        <charset val="186"/>
      </rPr>
      <t>2</t>
    </r>
  </si>
  <si>
    <r>
      <rPr>
        <b/>
        <sz val="10"/>
        <color theme="1"/>
        <rFont val="Times New Roman"/>
        <family val="1"/>
        <charset val="186"/>
      </rPr>
      <t xml:space="preserve">Kokšķiedras lokšņu griesti,  </t>
    </r>
    <r>
      <rPr>
        <sz val="10"/>
        <color theme="1"/>
        <rFont val="Times New Roman"/>
        <family val="1"/>
        <charset val="186"/>
      </rPr>
      <t>Superfine AK-01, 1200 x 600 x 25 mm (Heradesign),m</t>
    </r>
    <r>
      <rPr>
        <vertAlign val="superscript"/>
        <sz val="10"/>
        <color theme="1"/>
        <rFont val="Times New Roman"/>
        <family val="1"/>
        <charset val="186"/>
      </rPr>
      <t>2</t>
    </r>
  </si>
  <si>
    <r>
      <rPr>
        <b/>
        <sz val="10"/>
        <color theme="1"/>
        <rFont val="Times New Roman"/>
        <family val="1"/>
        <charset val="186"/>
      </rPr>
      <t>LED panelis pie griestiem</t>
    </r>
    <r>
      <rPr>
        <sz val="10"/>
        <color theme="1"/>
        <rFont val="Times New Roman"/>
        <family val="1"/>
        <charset val="186"/>
      </rPr>
      <t xml:space="preserve">
∅172 mm, 120°, 3500K, 1200Lm, IP44 (12W), (ELMO)</t>
    </r>
  </si>
  <si>
    <r>
      <rPr>
        <b/>
        <sz val="10"/>
        <color theme="1"/>
        <rFont val="Times New Roman"/>
        <family val="1"/>
        <charset val="186"/>
      </rPr>
      <t>Griestos iekārts gaismeklis</t>
    </r>
    <r>
      <rPr>
        <sz val="10"/>
        <color theme="1"/>
        <rFont val="Times New Roman"/>
        <family val="1"/>
        <charset val="186"/>
      </rPr>
      <t xml:space="preserve">
T 1038 Gong, d=320, h=320, E27 Max 60W, tonis- 36 Flat white (BELID)
</t>
    </r>
  </si>
  <si>
    <r>
      <rPr>
        <b/>
        <sz val="10"/>
        <color theme="1"/>
        <rFont val="Times New Roman"/>
        <family val="1"/>
        <charset val="186"/>
      </rPr>
      <t>Griestos iebūvēts gaismeklis</t>
    </r>
    <r>
      <rPr>
        <sz val="10"/>
        <color theme="1"/>
        <rFont val="Times New Roman"/>
        <family val="1"/>
        <charset val="186"/>
      </rPr>
      <t xml:space="preserve">
BALI 180 M15, 1480x90x80 mm, 1x80W, IP20 (Northcliffe)</t>
    </r>
  </si>
  <si>
    <r>
      <rPr>
        <b/>
        <sz val="10"/>
        <color theme="1"/>
        <rFont val="Times New Roman"/>
        <family val="1"/>
        <charset val="186"/>
      </rPr>
      <t>Gaismeklis pie griestiem</t>
    </r>
    <r>
      <rPr>
        <sz val="10"/>
        <color theme="1"/>
        <rFont val="Times New Roman"/>
        <family val="1"/>
        <charset val="186"/>
      </rPr>
      <t xml:space="preserve">
RUBIN ROUND ∅1200, IP20, (10x55W) PLX L-DOWN, dimmējams  (Luxiona)</t>
    </r>
  </si>
  <si>
    <r>
      <rPr>
        <b/>
        <sz val="10"/>
        <color theme="1"/>
        <rFont val="Times New Roman"/>
        <family val="1"/>
        <charset val="186"/>
      </rPr>
      <t xml:space="preserve">Prožektori </t>
    </r>
    <r>
      <rPr>
        <sz val="10"/>
        <color theme="1"/>
        <rFont val="Times New Roman"/>
        <family val="1"/>
        <charset val="186"/>
      </rPr>
      <t>piestiprināti pie sliedes
PAR-16 Spot white 230V, GU-10, max 75W,150 x 100 x 80 mm (EUROLITE)</t>
    </r>
  </si>
  <si>
    <r>
      <rPr>
        <b/>
        <sz val="10"/>
        <color theme="1"/>
        <rFont val="Times New Roman"/>
        <family val="1"/>
        <charset val="186"/>
      </rPr>
      <t>Rotējošs daudzkrāsu apgaismojuma prožektors</t>
    </r>
    <r>
      <rPr>
        <sz val="10"/>
        <color theme="1"/>
        <rFont val="Times New Roman"/>
        <family val="1"/>
        <charset val="186"/>
      </rPr>
      <t xml:space="preserve"> ar mikrofonu, "Moonflower" efektu Micro Burst, 286x165x134mm, 3W, Micro-LED-Series (h= mm) (AMERICAN DJ)</t>
    </r>
  </si>
  <si>
    <r>
      <rPr>
        <b/>
        <sz val="10"/>
        <color theme="1"/>
        <rFont val="Times New Roman"/>
        <family val="1"/>
        <charset val="186"/>
      </rPr>
      <t>Āra gaismeklis pie griestiem</t>
    </r>
    <r>
      <rPr>
        <sz val="10"/>
        <color theme="1"/>
        <rFont val="Times New Roman"/>
        <family val="1"/>
        <charset val="186"/>
      </rPr>
      <t xml:space="preserve"> 
OPAL 15-9677-14-M1, d=300mm, E27, 2x23W, IP65, IK10 (LEDS C4)</t>
    </r>
  </si>
  <si>
    <r>
      <rPr>
        <b/>
        <sz val="10"/>
        <color theme="1"/>
        <rFont val="Times New Roman"/>
        <family val="1"/>
        <charset val="186"/>
      </rPr>
      <t xml:space="preserve">Āra gaismeklis pie sienas </t>
    </r>
    <r>
      <rPr>
        <sz val="10"/>
        <color theme="1"/>
        <rFont val="Times New Roman"/>
        <family val="1"/>
        <charset val="186"/>
      </rPr>
      <t xml:space="preserve">
OPAL 05-9677-14-M1, d=300mm, E27, 2x23W, IP65, IK10 (h=2.4 m) (LEDS C4)</t>
    </r>
  </si>
  <si>
    <r>
      <rPr>
        <b/>
        <sz val="10"/>
        <rFont val="Times New Roman"/>
        <family val="1"/>
        <charset val="186"/>
      </rPr>
      <t xml:space="preserve">Gaismeklis pie fasādes, nojumē </t>
    </r>
    <r>
      <rPr>
        <sz val="10"/>
        <rFont val="Times New Roman"/>
        <family val="1"/>
        <charset val="186"/>
      </rPr>
      <t>ARTEMIS, 032/30/50R/AAS, LED 7.6 W, h~3100 mm (ACDC)</t>
    </r>
  </si>
  <si>
    <r>
      <rPr>
        <b/>
        <sz val="10"/>
        <rFont val="Times New Roman"/>
        <family val="1"/>
        <charset val="186"/>
      </rPr>
      <t xml:space="preserve">Laterna </t>
    </r>
    <r>
      <rPr>
        <sz val="10"/>
        <rFont val="Times New Roman"/>
        <family val="1"/>
        <charset val="186"/>
      </rPr>
      <t xml:space="preserve">Nyx 450 HIT 150W fp4, IP66, IK09 (FOCUS Lighting)
</t>
    </r>
  </si>
  <si>
    <r>
      <rPr>
        <b/>
        <sz val="10"/>
        <rFont val="Times New Roman"/>
        <family val="1"/>
        <charset val="186"/>
      </rPr>
      <t xml:space="preserve">Laterna </t>
    </r>
    <r>
      <rPr>
        <sz val="10"/>
        <rFont val="Times New Roman"/>
        <family val="1"/>
        <charset val="186"/>
      </rPr>
      <t xml:space="preserve">Nyx 330, 32W f.p.,   IP66, IK10 (FOCUS Lighting)
</t>
    </r>
  </si>
  <si>
    <r>
      <rPr>
        <b/>
        <sz val="10"/>
        <rFont val="Times New Roman"/>
        <family val="1"/>
        <charset val="186"/>
      </rPr>
      <t>Prožektors nojumē</t>
    </r>
    <r>
      <rPr>
        <sz val="10"/>
        <rFont val="Times New Roman"/>
        <family val="1"/>
        <charset val="186"/>
      </rPr>
      <t xml:space="preserve"> (vērsts uz iekšu) ACDC 1031/30/50R/AAS, LED 2.5W (ACDC)</t>
    </r>
  </si>
  <si>
    <r>
      <rPr>
        <b/>
        <sz val="10"/>
        <rFont val="Times New Roman"/>
        <family val="1"/>
        <charset val="186"/>
      </rPr>
      <t xml:space="preserve">Gaismeklis koku izgaismošanai </t>
    </r>
    <r>
      <rPr>
        <sz val="10"/>
        <rFont val="Times New Roman"/>
        <family val="1"/>
        <charset val="186"/>
      </rPr>
      <t>(zālienā) Lutera, 8521RES/LED-W ET, LED 17.7 W (TRILUX)</t>
    </r>
  </si>
  <si>
    <r>
      <rPr>
        <b/>
        <sz val="10"/>
        <rFont val="Times New Roman"/>
        <family val="1"/>
        <charset val="186"/>
      </rPr>
      <t xml:space="preserve">Gaismeklis pie fasādes, nojumēs </t>
    </r>
    <r>
      <rPr>
        <sz val="10"/>
        <rFont val="Times New Roman"/>
        <family val="1"/>
        <charset val="186"/>
      </rPr>
      <t xml:space="preserve">
SHOT 290 VIAL HIT G12, 70W, GRIS, 7501253, IP65, IK09, h~3100 mm, h=2750 mm (LAMP)</t>
    </r>
  </si>
  <si>
    <r>
      <rPr>
        <b/>
        <sz val="11"/>
        <color theme="1"/>
        <rFont val="Times New Roman"/>
        <family val="1"/>
        <charset val="186"/>
      </rPr>
      <t xml:space="preserve">Gruntēšana, krāsojums </t>
    </r>
    <r>
      <rPr>
        <sz val="11"/>
        <color theme="1"/>
        <rFont val="Times New Roman"/>
        <family val="1"/>
        <charset val="186"/>
      </rPr>
      <t>uz ģipškartona, tonis- balts, m</t>
    </r>
    <r>
      <rPr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</si>
  <si>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color theme="1"/>
        <rFont val="Times New Roman"/>
        <family val="1"/>
        <charset val="186"/>
      </rPr>
      <t xml:space="preserve">Piekārtās griestu plātnes </t>
    </r>
    <r>
      <rPr>
        <sz val="11"/>
        <color theme="1"/>
        <rFont val="Times New Roman"/>
        <family val="1"/>
        <charset val="186"/>
      </rPr>
      <t>Thermatex FEINTRATOS GEN. AW/GN 600 x 600 x 19 mm (AMF Knauf), m</t>
    </r>
    <r>
      <rPr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</si>
  <si>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color theme="1"/>
        <rFont val="Times New Roman"/>
        <family val="1"/>
        <charset val="186"/>
      </rPr>
      <t xml:space="preserve">Piekārtās griestu plātnes </t>
    </r>
    <r>
      <rPr>
        <sz val="11"/>
        <color theme="1"/>
        <rFont val="Times New Roman"/>
        <family val="1"/>
        <charset val="186"/>
      </rPr>
      <t>Thermatex ALPHA HD AW/GN 600 x 600 x 19 mm (AMF Knauf), m</t>
    </r>
    <r>
      <rPr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</si>
  <si>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color theme="1"/>
        <rFont val="Times New Roman"/>
        <family val="1"/>
        <charset val="186"/>
      </rPr>
      <t xml:space="preserve">Piekārtās griestu plātnes </t>
    </r>
    <r>
      <rPr>
        <sz val="11"/>
        <color theme="1"/>
        <rFont val="Times New Roman"/>
        <family val="1"/>
        <charset val="186"/>
      </rPr>
      <t>Thermatex dB ACOUSTIC, 600 x 600 x 24 mm, AW / GN (AMF Knauf), m</t>
    </r>
    <r>
      <rPr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</si>
  <si>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color theme="1"/>
        <rFont val="Times New Roman"/>
        <family val="1"/>
        <charset val="186"/>
      </rPr>
      <t>Saplākšņa loksnes</t>
    </r>
    <r>
      <rPr>
        <sz val="11"/>
        <color theme="1"/>
        <rFont val="Times New Roman"/>
        <family val="1"/>
        <charset val="186"/>
      </rPr>
      <t>- iestiprinātas metāla karkasā (12 mm), m</t>
    </r>
    <r>
      <rPr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</si>
  <si>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color theme="1"/>
        <rFont val="Times New Roman"/>
        <family val="1"/>
        <charset val="186"/>
      </rPr>
      <t xml:space="preserve">Metāla karkass </t>
    </r>
    <r>
      <rPr>
        <sz val="11"/>
        <color theme="1"/>
        <rFont val="Times New Roman"/>
        <family val="1"/>
        <charset val="186"/>
      </rPr>
      <t>(kvadrātveida caurule 30 x 30 mm) saplākšņa griestu stiprināšanai, m</t>
    </r>
  </si>
  <si>
    <r>
      <rPr>
        <b/>
        <sz val="11"/>
        <color theme="1"/>
        <rFont val="Times New Roman"/>
        <family val="1"/>
        <charset val="186"/>
      </rPr>
      <t>Metāla siju (šveileru krāsojums)</t>
    </r>
    <r>
      <rPr>
        <sz val="11"/>
        <color theme="1"/>
        <rFont val="Times New Roman"/>
        <family val="1"/>
        <charset val="186"/>
      </rPr>
      <t>, m</t>
    </r>
    <r>
      <rPr>
        <vertAlign val="superscript"/>
        <sz val="11"/>
        <color theme="1"/>
        <rFont val="Times New Roman"/>
        <family val="1"/>
        <charset val="186"/>
      </rPr>
      <t>2</t>
    </r>
  </si>
  <si>
    <r>
      <rPr>
        <b/>
        <sz val="11"/>
        <color theme="1"/>
        <rFont val="Times New Roman"/>
        <family val="1"/>
        <charset val="186"/>
      </rPr>
      <t>LED panelis griestos</t>
    </r>
    <r>
      <rPr>
        <sz val="11"/>
        <color theme="1"/>
        <rFont val="Times New Roman"/>
        <family val="1"/>
        <charset val="186"/>
      </rPr>
      <t xml:space="preserve">
∅145 mm, 120°, 3500K, 900Lm, IP44 (9W), (ELMO)</t>
    </r>
  </si>
  <si>
    <r>
      <rPr>
        <b/>
        <sz val="11"/>
        <color theme="1"/>
        <rFont val="Times New Roman"/>
        <family val="1"/>
        <charset val="186"/>
      </rPr>
      <t>LED panelis griestos</t>
    </r>
    <r>
      <rPr>
        <sz val="11"/>
        <color theme="1"/>
        <rFont val="Times New Roman"/>
        <family val="1"/>
        <charset val="186"/>
      </rPr>
      <t xml:space="preserve">
∅172 mm, 120°, 3500K, 1200Lm, IP44 (12W), (ELMO)</t>
    </r>
  </si>
  <si>
    <r>
      <rPr>
        <b/>
        <sz val="11"/>
        <color theme="1"/>
        <rFont val="Times New Roman"/>
        <family val="1"/>
        <charset val="186"/>
      </rPr>
      <t>Gaismeklis pie griestiem</t>
    </r>
    <r>
      <rPr>
        <sz val="11"/>
        <color theme="1"/>
        <rFont val="Times New Roman"/>
        <family val="1"/>
        <charset val="186"/>
      </rPr>
      <t xml:space="preserve">
FOX-236-EP, 2x36W, 1315 x 165 x 63 mm (Vyrtych)</t>
    </r>
  </si>
  <si>
    <r>
      <rPr>
        <b/>
        <sz val="11"/>
        <color theme="1"/>
        <rFont val="Times New Roman"/>
        <family val="1"/>
        <charset val="186"/>
      </rPr>
      <t>Gaismeklis griestos</t>
    </r>
    <r>
      <rPr>
        <sz val="11"/>
        <color theme="1"/>
        <rFont val="Times New Roman"/>
        <family val="1"/>
        <charset val="186"/>
      </rPr>
      <t xml:space="preserve">
Orion 218 B27 SOP, 52W (Northcliffe)</t>
    </r>
  </si>
  <si>
    <r>
      <rPr>
        <b/>
        <sz val="11"/>
        <color theme="1"/>
        <rFont val="Times New Roman"/>
        <family val="1"/>
        <charset val="186"/>
      </rPr>
      <t>Gaismeklis pie griestiem</t>
    </r>
    <r>
      <rPr>
        <sz val="11"/>
        <color theme="1"/>
        <rFont val="Times New Roman"/>
        <family val="1"/>
        <charset val="186"/>
      </rPr>
      <t xml:space="preserve">
Neptun PC T8, 2x36 W, (LUXIONA)
</t>
    </r>
  </si>
  <si>
    <r>
      <rPr>
        <b/>
        <sz val="11"/>
        <color theme="1"/>
        <rFont val="Times New Roman"/>
        <family val="1"/>
        <charset val="186"/>
      </rPr>
      <t>Griestos iekārts gaismeklis</t>
    </r>
    <r>
      <rPr>
        <sz val="11"/>
        <color theme="1"/>
        <rFont val="Times New Roman"/>
        <family val="1"/>
        <charset val="186"/>
      </rPr>
      <t xml:space="preserve">
Neptun PC T8, 2x36 W, (LUXIONA) (paredzēt piekares sistēmu)
</t>
    </r>
  </si>
  <si>
    <r>
      <rPr>
        <b/>
        <sz val="11"/>
        <color theme="1"/>
        <rFont val="Times New Roman"/>
        <family val="1"/>
        <charset val="186"/>
      </rPr>
      <t>Gaismeklis pie metāla sijām</t>
    </r>
    <r>
      <rPr>
        <sz val="11"/>
        <color theme="1"/>
        <rFont val="Times New Roman"/>
        <family val="1"/>
        <charset val="186"/>
      </rPr>
      <t xml:space="preserve">
UX-CLASSIC NC PAR-V 2x54W, (OMS)
</t>
    </r>
  </si>
  <si>
    <r>
      <rPr>
        <b/>
        <sz val="11"/>
        <color theme="1"/>
        <rFont val="Times New Roman"/>
        <family val="1"/>
        <charset val="186"/>
      </rPr>
      <t>Dežūrapgaismojums pie sienas</t>
    </r>
    <r>
      <rPr>
        <sz val="11"/>
        <color theme="1"/>
        <rFont val="Times New Roman"/>
        <family val="1"/>
        <charset val="186"/>
      </rPr>
      <t xml:space="preserve">
SMILLA BAGGE (101.944.46), 230 x 320 x 65 mm (IKEA)
</t>
    </r>
  </si>
  <si>
    <r>
      <rPr>
        <b/>
        <sz val="11"/>
        <color theme="1"/>
        <rFont val="Times New Roman"/>
        <family val="1"/>
        <charset val="186"/>
      </rPr>
      <t xml:space="preserve">Griestos iekārts gaismeklis </t>
    </r>
    <r>
      <rPr>
        <sz val="11"/>
        <color theme="1"/>
        <rFont val="Times New Roman"/>
        <family val="1"/>
        <charset val="186"/>
      </rPr>
      <t xml:space="preserve">
(starp saplākšņa elementiem), Decor 149 M84 PAR, 1476x60x70 mm, 1x49, A2, D PAR (NORTHCLIFFE)</t>
    </r>
  </si>
  <si>
    <r>
      <rPr>
        <b/>
        <sz val="11"/>
        <color theme="1"/>
        <rFont val="Times New Roman"/>
        <family val="1"/>
        <charset val="186"/>
      </rPr>
      <t xml:space="preserve">Gaismeklis pie sienas </t>
    </r>
    <r>
      <rPr>
        <sz val="11"/>
        <color theme="1"/>
        <rFont val="Times New Roman"/>
        <family val="1"/>
        <charset val="186"/>
      </rPr>
      <t>(h=2000 mm no pakāpiena) PLASTRA WL-1, 100x75x247 mm, white 148015, 2x35W (SLV)</t>
    </r>
  </si>
  <si>
    <r>
      <rPr>
        <b/>
        <sz val="11"/>
        <rFont val="Times New Roman"/>
        <family val="1"/>
        <charset val="186"/>
      </rPr>
      <t xml:space="preserve">Gaismeklis pie fasādes </t>
    </r>
    <r>
      <rPr>
        <sz val="11"/>
        <rFont val="Times New Roman"/>
        <family val="1"/>
        <charset val="186"/>
      </rPr>
      <t xml:space="preserve">
SHOT 290 VIAL HIT G12, 70W, GRIS, 7501253, IP65, IK09  h~7000 mm  (LAMP)</t>
    </r>
  </si>
  <si>
    <t>Drošības uzlika durvīm, gab.</t>
  </si>
  <si>
    <r>
      <rPr>
        <b/>
        <sz val="12"/>
        <color theme="1"/>
        <rFont val="Times New Roman"/>
        <family val="1"/>
        <charset val="186"/>
      </rPr>
      <t>Drošības uzlika durvīm - Finger alert 110, wide</t>
    </r>
    <r>
      <rPr>
        <sz val="12"/>
        <color theme="1"/>
        <rFont val="Times New Roman"/>
        <family val="1"/>
        <charset val="186"/>
      </rPr>
      <t>,</t>
    </r>
    <r>
      <rPr>
        <b/>
        <sz val="12"/>
        <color theme="1"/>
        <rFont val="Times New Roman"/>
        <family val="1"/>
        <charset val="186"/>
      </rPr>
      <t xml:space="preserve"> </t>
    </r>
    <r>
      <rPr>
        <sz val="12"/>
        <color theme="1"/>
        <rFont val="Times New Roman"/>
        <family val="1"/>
        <charset val="186"/>
      </rPr>
      <t>150mm, caurspīdīga (platā, iekšpusei)</t>
    </r>
  </si>
  <si>
    <r>
      <rPr>
        <b/>
        <sz val="12"/>
        <color theme="1"/>
        <rFont val="Times New Roman"/>
        <family val="1"/>
        <charset val="186"/>
      </rPr>
      <t>Drošības uzlika durvīm - Finger alert 110, narrow</t>
    </r>
    <r>
      <rPr>
        <sz val="12"/>
        <color theme="1"/>
        <rFont val="Times New Roman"/>
        <family val="1"/>
        <charset val="186"/>
      </rPr>
      <t>, 150mm, caurspīdīga (šaurā , ārpusei)</t>
    </r>
  </si>
  <si>
    <r>
      <t>Žalūziju veidi, (BxH)m</t>
    </r>
    <r>
      <rPr>
        <b/>
        <vertAlign val="superscript"/>
        <sz val="10"/>
        <color theme="1"/>
        <rFont val="Times New Roman"/>
        <family val="1"/>
        <charset val="186"/>
      </rPr>
      <t>2</t>
    </r>
    <r>
      <rPr>
        <b/>
        <sz val="10"/>
        <color theme="1"/>
        <rFont val="Times New Roman"/>
        <family val="1"/>
        <charset val="186"/>
      </rPr>
      <t>, gab.</t>
    </r>
  </si>
  <si>
    <r>
      <rPr>
        <b/>
        <sz val="12"/>
        <color theme="1"/>
        <rFont val="Times New Roman"/>
        <family val="1"/>
        <charset val="186"/>
      </rPr>
      <t xml:space="preserve">Rullo žalūzijas, grupas telpai, gaišas* </t>
    </r>
    <r>
      <rPr>
        <sz val="12"/>
        <color theme="1"/>
        <rFont val="Times New Roman"/>
        <family val="1"/>
        <charset val="186"/>
      </rPr>
      <t xml:space="preserve">
2700x2250 ,m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 (L-1)</t>
    </r>
  </si>
  <si>
    <r>
      <rPr>
        <b/>
        <sz val="12"/>
        <color theme="1"/>
        <rFont val="Times New Roman"/>
        <family val="1"/>
        <charset val="186"/>
      </rPr>
      <t>Rullo žalūzijas, birojam, gaišas*</t>
    </r>
    <r>
      <rPr>
        <sz val="12"/>
        <color theme="1"/>
        <rFont val="Times New Roman"/>
        <family val="1"/>
        <charset val="186"/>
      </rPr>
      <t xml:space="preserve">
2100x1620, m</t>
    </r>
    <r>
      <rPr>
        <vertAlign val="superscript"/>
        <sz val="12"/>
        <color theme="1"/>
        <rFont val="Times New Roman"/>
        <family val="1"/>
        <charset val="186"/>
      </rPr>
      <t xml:space="preserve">2 </t>
    </r>
    <r>
      <rPr>
        <sz val="12"/>
        <color theme="1"/>
        <rFont val="Times New Roman"/>
        <family val="1"/>
        <charset val="186"/>
      </rPr>
      <t>(L-5)</t>
    </r>
  </si>
  <si>
    <r>
      <rPr>
        <b/>
        <sz val="12"/>
        <color theme="1"/>
        <rFont val="Times New Roman"/>
        <family val="1"/>
        <charset val="186"/>
      </rPr>
      <t xml:space="preserve">Rullo žalūzijas, grupas telpai, gaišas* </t>
    </r>
    <r>
      <rPr>
        <sz val="12"/>
        <color theme="1"/>
        <rFont val="Times New Roman"/>
        <family val="1"/>
        <charset val="186"/>
      </rPr>
      <t xml:space="preserve">
3200x2250 ,m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 (L-4)</t>
    </r>
  </si>
  <si>
    <r>
      <rPr>
        <b/>
        <sz val="12"/>
        <color theme="1"/>
        <rFont val="Times New Roman"/>
        <family val="1"/>
        <charset val="186"/>
      </rPr>
      <t xml:space="preserve">Rullo žalūzijas, grupas telpai, oranžas* </t>
    </r>
    <r>
      <rPr>
        <sz val="12"/>
        <color theme="1"/>
        <rFont val="Times New Roman"/>
        <family val="1"/>
        <charset val="186"/>
      </rPr>
      <t xml:space="preserve">
3200x2250 ,m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 (L-4)</t>
    </r>
  </si>
  <si>
    <r>
      <rPr>
        <b/>
        <sz val="12"/>
        <color theme="1"/>
        <rFont val="Times New Roman"/>
        <family val="1"/>
        <charset val="186"/>
      </rPr>
      <t xml:space="preserve">Rullo žalūzijas, grupas telpai, oranžas* </t>
    </r>
    <r>
      <rPr>
        <sz val="12"/>
        <color theme="1"/>
        <rFont val="Times New Roman"/>
        <family val="1"/>
        <charset val="186"/>
      </rPr>
      <t xml:space="preserve">
2700x2250 ,m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 (L-1)</t>
    </r>
  </si>
  <si>
    <r>
      <rPr>
        <b/>
        <sz val="12"/>
        <color theme="1"/>
        <rFont val="Times New Roman"/>
        <family val="1"/>
        <charset val="186"/>
      </rPr>
      <t xml:space="preserve">Rullo žalūzijas, guļamtelpai, oranžas*, aptumšojošas , </t>
    </r>
    <r>
      <rPr>
        <sz val="12"/>
        <color theme="1"/>
        <rFont val="Times New Roman"/>
        <family val="1"/>
        <charset val="186"/>
      </rPr>
      <t>2400x1620 ,m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 (L-3)</t>
    </r>
  </si>
  <si>
    <r>
      <rPr>
        <b/>
        <sz val="12"/>
        <color theme="1"/>
        <rFont val="Times New Roman"/>
        <family val="1"/>
        <charset val="186"/>
      </rPr>
      <t xml:space="preserve">Rullo žalūzijas, grupas telpai, zaļas* </t>
    </r>
    <r>
      <rPr>
        <sz val="12"/>
        <color theme="1"/>
        <rFont val="Times New Roman"/>
        <family val="1"/>
        <charset val="186"/>
      </rPr>
      <t xml:space="preserve">
3200x2250 ,m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 (L-4)</t>
    </r>
  </si>
  <si>
    <r>
      <rPr>
        <b/>
        <sz val="12"/>
        <color theme="1"/>
        <rFont val="Times New Roman"/>
        <family val="1"/>
        <charset val="186"/>
      </rPr>
      <t xml:space="preserve">Rullo žalūzijas, grupas telpai, zaļas* </t>
    </r>
    <r>
      <rPr>
        <sz val="12"/>
        <color theme="1"/>
        <rFont val="Times New Roman"/>
        <family val="1"/>
        <charset val="186"/>
      </rPr>
      <t xml:space="preserve">
2700x2250 ,m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 (L-1)</t>
    </r>
  </si>
  <si>
    <r>
      <rPr>
        <b/>
        <sz val="12"/>
        <color theme="1"/>
        <rFont val="Times New Roman"/>
        <family val="1"/>
        <charset val="186"/>
      </rPr>
      <t xml:space="preserve">Rullo žalūzijas, guļamtelpai, zaļas*, aptumšojošas , </t>
    </r>
    <r>
      <rPr>
        <sz val="12"/>
        <color theme="1"/>
        <rFont val="Times New Roman"/>
        <family val="1"/>
        <charset val="186"/>
      </rPr>
      <t>2400x1620 ,m</t>
    </r>
    <r>
      <rPr>
        <vertAlign val="superscript"/>
        <sz val="12"/>
        <color theme="1"/>
        <rFont val="Times New Roman"/>
        <family val="1"/>
        <charset val="186"/>
      </rPr>
      <t>2</t>
    </r>
    <r>
      <rPr>
        <sz val="12"/>
        <color theme="1"/>
        <rFont val="Times New Roman"/>
        <family val="1"/>
        <charset val="186"/>
      </rPr>
      <t xml:space="preserve"> (L-3)</t>
    </r>
  </si>
  <si>
    <r>
      <rPr>
        <b/>
        <sz val="12"/>
        <color theme="1"/>
        <rFont val="Times New Roman"/>
        <family val="1"/>
        <charset val="186"/>
      </rPr>
      <t xml:space="preserve">Rullo žalūzijas, zālei, aptumšojošas*, </t>
    </r>
    <r>
      <rPr>
        <sz val="12"/>
        <color theme="1"/>
        <rFont val="Times New Roman"/>
        <family val="1"/>
        <charset val="186"/>
      </rPr>
      <t>1200x2250 ,m</t>
    </r>
    <r>
      <rPr>
        <vertAlign val="superscript"/>
        <sz val="12"/>
        <color theme="1"/>
        <rFont val="Times New Roman"/>
        <family val="1"/>
        <charset val="186"/>
      </rPr>
      <t>2</t>
    </r>
  </si>
  <si>
    <r>
      <rPr>
        <b/>
        <sz val="12"/>
        <color theme="1"/>
        <rFont val="Times New Roman"/>
        <family val="1"/>
        <charset val="186"/>
      </rPr>
      <t xml:space="preserve">Rullo žalūzijas, zālei, aptumšojošas*, </t>
    </r>
    <r>
      <rPr>
        <sz val="12"/>
        <color theme="1"/>
        <rFont val="Times New Roman"/>
        <family val="1"/>
        <charset val="186"/>
      </rPr>
      <t>1100x2250 ,m</t>
    </r>
    <r>
      <rPr>
        <vertAlign val="superscript"/>
        <sz val="12"/>
        <color theme="1"/>
        <rFont val="Times New Roman"/>
        <family val="1"/>
        <charset val="186"/>
      </rPr>
      <t>2</t>
    </r>
  </si>
  <si>
    <t>* Krāsu toņus precizēt autoruzraudzības procesā pirms pasūtīšanas.</t>
  </si>
  <si>
    <t>Žalūzijas un drošības uzlikas durvīm</t>
  </si>
  <si>
    <r>
      <rPr>
        <b/>
        <sz val="11"/>
        <color rgb="FF00B050"/>
        <rFont val="Times New Roman"/>
        <family val="1"/>
        <charset val="186"/>
      </rPr>
      <t xml:space="preserve">M-11* </t>
    </r>
    <r>
      <rPr>
        <b/>
        <sz val="11"/>
        <color theme="1"/>
        <rFont val="Times New Roman"/>
        <family val="1"/>
        <charset val="186"/>
      </rPr>
      <t>Moduļu sistēmas modulis</t>
    </r>
    <r>
      <rPr>
        <sz val="11"/>
        <color theme="1"/>
        <rFont val="Times New Roman"/>
        <family val="1"/>
        <charset val="186"/>
      </rPr>
      <t xml:space="preserve"> 1490 x 400 x 1490 mm</t>
    </r>
  </si>
  <si>
    <r>
      <rPr>
        <b/>
        <sz val="11"/>
        <color rgb="FF00B050"/>
        <rFont val="Times New Roman"/>
        <family val="1"/>
        <charset val="186"/>
      </rPr>
      <t xml:space="preserve">M-11 </t>
    </r>
    <r>
      <rPr>
        <b/>
        <sz val="11"/>
        <color theme="1"/>
        <rFont val="Times New Roman"/>
        <family val="1"/>
        <charset val="186"/>
      </rPr>
      <t>Moduļu sistēmas modulis</t>
    </r>
    <r>
      <rPr>
        <sz val="11"/>
        <color theme="1"/>
        <rFont val="Times New Roman"/>
        <family val="1"/>
        <charset val="186"/>
      </rPr>
      <t xml:space="preserve"> 1490 x 400 x 1490 mm (2 stāvos)</t>
    </r>
  </si>
  <si>
    <r>
      <t xml:space="preserve">M-12 </t>
    </r>
    <r>
      <rPr>
        <b/>
        <sz val="11"/>
        <rFont val="Times New Roman"/>
        <family val="1"/>
        <charset val="186"/>
      </rPr>
      <t xml:space="preserve">Plaukts grāmatām, </t>
    </r>
    <r>
      <rPr>
        <sz val="11"/>
        <rFont val="Times New Roman"/>
        <family val="1"/>
        <charset val="186"/>
      </rPr>
      <t>800 x 350 x 1100 mm</t>
    </r>
  </si>
  <si>
    <r>
      <rPr>
        <b/>
        <sz val="11"/>
        <color rgb="FF00B050"/>
        <rFont val="Times New Roman"/>
        <family val="1"/>
        <charset val="186"/>
      </rPr>
      <t xml:space="preserve">M-11* </t>
    </r>
    <r>
      <rPr>
        <b/>
        <sz val="11"/>
        <color theme="1"/>
        <rFont val="Times New Roman"/>
        <family val="1"/>
        <charset val="186"/>
      </rPr>
      <t>Moduļu sistēmas modulis</t>
    </r>
    <r>
      <rPr>
        <sz val="11"/>
        <color theme="1"/>
        <rFont val="Times New Roman"/>
        <family val="1"/>
        <charset val="186"/>
      </rPr>
      <t xml:space="preserve"> 1490 x 00 x 1490 mm</t>
    </r>
  </si>
  <si>
    <r>
      <rPr>
        <b/>
        <sz val="11"/>
        <color theme="1"/>
        <rFont val="Times New Roman"/>
        <family val="1"/>
        <charset val="186"/>
      </rPr>
      <t>LED panelis pie griestiem</t>
    </r>
    <r>
      <rPr>
        <sz val="11"/>
        <color theme="1"/>
        <rFont val="Times New Roman"/>
        <family val="1"/>
        <charset val="186"/>
      </rPr>
      <t xml:space="preserve">
∅172 mm, 120°, 3500K, 1200Lm, IP44 (12W), (ELMO)</t>
    </r>
  </si>
  <si>
    <t>* Bēniņu stāva apgaismojuu skatīt EL sadaļā.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</si>
</sst>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vertAlign val="superscript"/>
      <sz val="12"/>
      <color theme="1"/>
      <name val="Times New Roman"/>
      <family val="1"/>
      <charset val="186"/>
    </font>
    <font>
      <b/>
      <vertAlign val="superscript"/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b/>
      <i/>
      <sz val="12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9"/>
      <color rgb="FFFF0000"/>
      <name val="Times New Roman"/>
      <family val="1"/>
      <charset val="186"/>
    </font>
    <font>
      <b/>
      <vertAlign val="superscript"/>
      <sz val="11"/>
      <color theme="1"/>
      <name val="Times New Roman"/>
      <family val="1"/>
      <charset val="186"/>
    </font>
    <font>
      <vertAlign val="superscript"/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0"/>
      <color theme="1"/>
      <name val="Calibri"/>
      <family val="2"/>
      <scheme val="minor"/>
    </font>
    <font>
      <b/>
      <sz val="10"/>
      <color theme="1"/>
      <name val="Times New Roman"/>
      <family val="1"/>
      <charset val="186"/>
    </font>
    <font>
      <b/>
      <vertAlign val="superscript"/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vertAlign val="superscript"/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vertAlign val="superscript"/>
      <sz val="11"/>
      <name val="Arial"/>
      <family val="2"/>
      <charset val="186"/>
    </font>
    <font>
      <sz val="11"/>
      <name val="Arial"/>
      <family val="2"/>
      <charset val="186"/>
    </font>
    <font>
      <b/>
      <sz val="11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sz val="11"/>
      <color rgb="FF00B050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u/>
      <sz val="10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</fills>
  <borders count="7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9" xfId="0" applyFont="1" applyBorder="1" applyAlignment="1">
      <alignment horizontal="right"/>
    </xf>
    <xf numFmtId="0" fontId="2" fillId="0" borderId="24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1" xfId="0" applyFont="1" applyBorder="1"/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2" xfId="0" applyFont="1" applyBorder="1" applyAlignment="1">
      <alignment horizontal="left" textRotation="90" wrapText="1"/>
    </xf>
    <xf numFmtId="0" fontId="1" fillId="0" borderId="5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6" xfId="0" applyFont="1" applyFill="1" applyBorder="1" applyAlignment="1">
      <alignment horizontal="center"/>
    </xf>
    <xf numFmtId="0" fontId="6" fillId="0" borderId="6" xfId="0" applyFont="1" applyBorder="1"/>
    <xf numFmtId="0" fontId="1" fillId="0" borderId="6" xfId="0" applyFont="1" applyBorder="1"/>
    <xf numFmtId="0" fontId="1" fillId="0" borderId="7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2" fillId="0" borderId="49" xfId="0" applyNumberFormat="1" applyFont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6" fillId="0" borderId="34" xfId="0" applyFont="1" applyBorder="1" applyAlignment="1">
      <alignment horizontal="left" textRotation="90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21" xfId="0" applyFont="1" applyBorder="1" applyAlignment="1">
      <alignment horizontal="left" textRotation="90" wrapText="1"/>
    </xf>
    <xf numFmtId="0" fontId="6" fillId="0" borderId="41" xfId="0" applyFont="1" applyBorder="1" applyAlignment="1">
      <alignment horizontal="left" textRotation="90" wrapText="1"/>
    </xf>
    <xf numFmtId="0" fontId="6" fillId="0" borderId="43" xfId="0" applyFont="1" applyBorder="1" applyAlignment="1">
      <alignment horizontal="left" textRotation="90" wrapText="1"/>
    </xf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/>
    </xf>
    <xf numFmtId="0" fontId="1" fillId="0" borderId="38" xfId="0" applyFont="1" applyBorder="1" applyAlignment="1">
      <alignment horizontal="center"/>
    </xf>
    <xf numFmtId="0" fontId="6" fillId="0" borderId="27" xfId="0" applyFont="1" applyBorder="1" applyAlignment="1">
      <alignment horizontal="left" textRotation="90" wrapText="1"/>
    </xf>
    <xf numFmtId="0" fontId="2" fillId="0" borderId="58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45" xfId="0" applyFont="1" applyBorder="1" applyAlignment="1">
      <alignment horizontal="right"/>
    </xf>
    <xf numFmtId="0" fontId="1" fillId="0" borderId="16" xfId="0" applyFont="1" applyBorder="1"/>
    <xf numFmtId="0" fontId="1" fillId="0" borderId="17" xfId="0" applyFont="1" applyBorder="1" applyAlignment="1">
      <alignment horizontal="center"/>
    </xf>
    <xf numFmtId="0" fontId="1" fillId="0" borderId="20" xfId="0" applyFont="1" applyBorder="1"/>
    <xf numFmtId="0" fontId="6" fillId="0" borderId="7" xfId="0" applyFont="1" applyBorder="1" applyAlignment="1">
      <alignment horizontal="center"/>
    </xf>
    <xf numFmtId="0" fontId="1" fillId="0" borderId="11" xfId="0" applyFont="1" applyBorder="1"/>
    <xf numFmtId="0" fontId="2" fillId="0" borderId="40" xfId="0" applyFont="1" applyBorder="1" applyAlignment="1">
      <alignment horizontal="right"/>
    </xf>
    <xf numFmtId="0" fontId="2" fillId="0" borderId="26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" fillId="0" borderId="30" xfId="0" applyFont="1" applyBorder="1" applyAlignment="1">
      <alignment horizontal="left" textRotation="90" wrapText="1"/>
    </xf>
    <xf numFmtId="0" fontId="2" fillId="0" borderId="19" xfId="0" applyFont="1" applyFill="1" applyBorder="1" applyAlignment="1">
      <alignment horizontal="center"/>
    </xf>
    <xf numFmtId="0" fontId="1" fillId="0" borderId="53" xfId="0" applyFont="1" applyFill="1" applyBorder="1" applyAlignment="1">
      <alignment horizontal="center"/>
    </xf>
    <xf numFmtId="0" fontId="2" fillId="0" borderId="54" xfId="0" applyFont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11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33" xfId="0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" fillId="0" borderId="40" xfId="0" applyFont="1" applyFill="1" applyBorder="1" applyAlignment="1">
      <alignment horizontal="left" textRotation="90" wrapText="1"/>
    </xf>
    <xf numFmtId="0" fontId="1" fillId="0" borderId="43" xfId="0" applyFont="1" applyFill="1" applyBorder="1" applyAlignment="1">
      <alignment horizontal="left" textRotation="90" wrapText="1"/>
    </xf>
    <xf numFmtId="0" fontId="6" fillId="0" borderId="22" xfId="0" applyFont="1" applyFill="1" applyBorder="1" applyAlignment="1">
      <alignment horizontal="left" textRotation="90" wrapText="1"/>
    </xf>
    <xf numFmtId="0" fontId="6" fillId="0" borderId="40" xfId="0" applyFont="1" applyFill="1" applyBorder="1" applyAlignment="1">
      <alignment horizontal="left" textRotation="90" wrapText="1"/>
    </xf>
    <xf numFmtId="0" fontId="6" fillId="0" borderId="50" xfId="0" applyFont="1" applyFill="1" applyBorder="1" applyAlignment="1">
      <alignment horizontal="left" textRotation="90" wrapText="1"/>
    </xf>
    <xf numFmtId="2" fontId="12" fillId="0" borderId="8" xfId="0" applyNumberFormat="1" applyFont="1" applyBorder="1" applyAlignment="1">
      <alignment horizontal="center"/>
    </xf>
    <xf numFmtId="2" fontId="12" fillId="0" borderId="19" xfId="0" applyNumberFormat="1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3" fillId="0" borderId="51" xfId="0" applyFont="1" applyFill="1" applyBorder="1" applyAlignment="1">
      <alignment horizontal="center" vertical="center"/>
    </xf>
    <xf numFmtId="0" fontId="13" fillId="0" borderId="52" xfId="0" applyFont="1" applyFill="1" applyBorder="1" applyAlignment="1">
      <alignment horizontal="center" vertical="center"/>
    </xf>
    <xf numFmtId="0" fontId="12" fillId="0" borderId="3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30" xfId="0" applyFont="1" applyBorder="1" applyAlignment="1">
      <alignment horizontal="center"/>
    </xf>
    <xf numFmtId="0" fontId="11" fillId="0" borderId="21" xfId="0" applyFont="1" applyBorder="1"/>
    <xf numFmtId="0" fontId="11" fillId="0" borderId="32" xfId="0" applyFont="1" applyBorder="1" applyAlignment="1">
      <alignment horizontal="center"/>
    </xf>
    <xf numFmtId="0" fontId="16" fillId="0" borderId="20" xfId="0" applyFont="1" applyBorder="1" applyAlignment="1">
      <alignment horizontal="left" textRotation="90" wrapText="1"/>
    </xf>
    <xf numFmtId="0" fontId="16" fillId="0" borderId="21" xfId="0" applyFont="1" applyBorder="1" applyAlignment="1">
      <alignment horizontal="left" textRotation="90" wrapText="1"/>
    </xf>
    <xf numFmtId="0" fontId="16" fillId="0" borderId="34" xfId="0" applyFont="1" applyBorder="1" applyAlignment="1">
      <alignment horizontal="left" textRotation="90" wrapText="1"/>
    </xf>
    <xf numFmtId="0" fontId="16" fillId="0" borderId="30" xfId="0" applyFont="1" applyBorder="1" applyAlignment="1">
      <alignment horizontal="left" textRotation="90" wrapText="1"/>
    </xf>
    <xf numFmtId="0" fontId="11" fillId="0" borderId="21" xfId="0" applyFont="1" applyBorder="1" applyAlignment="1">
      <alignment horizontal="left" textRotation="90" wrapText="1"/>
    </xf>
    <xf numFmtId="0" fontId="16" fillId="0" borderId="22" xfId="0" applyFont="1" applyBorder="1" applyAlignment="1">
      <alignment horizontal="left" textRotation="90" wrapText="1"/>
    </xf>
    <xf numFmtId="0" fontId="11" fillId="0" borderId="4" xfId="0" applyFont="1" applyBorder="1"/>
    <xf numFmtId="0" fontId="11" fillId="0" borderId="4" xfId="0" applyFont="1" applyBorder="1" applyAlignment="1">
      <alignment horizontal="center"/>
    </xf>
    <xf numFmtId="0" fontId="11" fillId="0" borderId="18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/>
    </xf>
    <xf numFmtId="0" fontId="11" fillId="0" borderId="5" xfId="0" applyFont="1" applyFill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1" xfId="0" applyFont="1" applyBorder="1"/>
    <xf numFmtId="0" fontId="11" fillId="0" borderId="7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11" fillId="0" borderId="53" xfId="0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1" fillId="0" borderId="6" xfId="0" applyFont="1" applyFill="1" applyBorder="1" applyAlignment="1">
      <alignment horizontal="center"/>
    </xf>
    <xf numFmtId="0" fontId="11" fillId="0" borderId="1" xfId="0" applyFont="1" applyFill="1" applyBorder="1"/>
    <xf numFmtId="0" fontId="11" fillId="0" borderId="8" xfId="0" applyFont="1" applyBorder="1" applyAlignment="1">
      <alignment horizontal="center"/>
    </xf>
    <xf numFmtId="0" fontId="11" fillId="0" borderId="9" xfId="0" applyFont="1" applyBorder="1"/>
    <xf numFmtId="0" fontId="11" fillId="0" borderId="10" xfId="0" applyFont="1" applyBorder="1" applyAlignment="1">
      <alignment horizontal="center"/>
    </xf>
    <xf numFmtId="0" fontId="11" fillId="0" borderId="56" xfId="0" applyFont="1" applyBorder="1" applyAlignment="1">
      <alignment horizontal="center"/>
    </xf>
    <xf numFmtId="0" fontId="11" fillId="0" borderId="55" xfId="0" applyFont="1" applyBorder="1" applyAlignment="1">
      <alignment horizontal="center"/>
    </xf>
    <xf numFmtId="0" fontId="11" fillId="0" borderId="57" xfId="0" applyFont="1" applyBorder="1" applyAlignment="1">
      <alignment horizontal="center"/>
    </xf>
    <xf numFmtId="0" fontId="11" fillId="0" borderId="66" xfId="0" applyFont="1" applyBorder="1" applyAlignment="1">
      <alignment horizontal="center"/>
    </xf>
    <xf numFmtId="0" fontId="11" fillId="0" borderId="65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4" xfId="0" applyFont="1" applyBorder="1" applyAlignment="1">
      <alignment horizontal="right"/>
    </xf>
    <xf numFmtId="0" fontId="12" fillId="0" borderId="14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2" fillId="0" borderId="0" xfId="0" applyFont="1"/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right"/>
    </xf>
    <xf numFmtId="0" fontId="12" fillId="0" borderId="9" xfId="0" applyFont="1" applyBorder="1" applyAlignment="1">
      <alignment horizontal="center"/>
    </xf>
    <xf numFmtId="0" fontId="12" fillId="0" borderId="19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20" fillId="0" borderId="0" xfId="0" applyFont="1" applyAlignment="1">
      <alignment horizontal="left"/>
    </xf>
    <xf numFmtId="0" fontId="20" fillId="0" borderId="0" xfId="0" applyFont="1"/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/>
    </xf>
    <xf numFmtId="0" fontId="23" fillId="0" borderId="0" xfId="0" applyFont="1"/>
    <xf numFmtId="0" fontId="22" fillId="0" borderId="0" xfId="0" applyFont="1" applyBorder="1" applyAlignment="1">
      <alignment horizontal="center"/>
    </xf>
    <xf numFmtId="0" fontId="22" fillId="0" borderId="0" xfId="0" applyFont="1" applyBorder="1"/>
    <xf numFmtId="0" fontId="22" fillId="0" borderId="30" xfId="0" applyFont="1" applyBorder="1" applyAlignment="1">
      <alignment horizontal="center"/>
    </xf>
    <xf numFmtId="0" fontId="22" fillId="0" borderId="21" xfId="0" applyFont="1" applyBorder="1"/>
    <xf numFmtId="0" fontId="22" fillId="0" borderId="32" xfId="0" applyFont="1" applyBorder="1" applyAlignment="1">
      <alignment horizontal="center"/>
    </xf>
    <xf numFmtId="0" fontId="27" fillId="0" borderId="30" xfId="0" applyFont="1" applyBorder="1" applyAlignment="1">
      <alignment horizontal="left" textRotation="90" wrapText="1"/>
    </xf>
    <xf numFmtId="0" fontId="22" fillId="0" borderId="44" xfId="0" applyFont="1" applyBorder="1" applyAlignment="1">
      <alignment horizontal="left" textRotation="90" wrapText="1"/>
    </xf>
    <xf numFmtId="0" fontId="22" fillId="0" borderId="3" xfId="0" applyFont="1" applyBorder="1" applyAlignment="1">
      <alignment horizontal="center"/>
    </xf>
    <xf numFmtId="0" fontId="22" fillId="0" borderId="4" xfId="0" applyFont="1" applyBorder="1"/>
    <xf numFmtId="0" fontId="22" fillId="0" borderId="4" xfId="0" applyFont="1" applyBorder="1" applyAlignment="1">
      <alignment horizontal="center"/>
    </xf>
    <xf numFmtId="0" fontId="22" fillId="0" borderId="23" xfId="0" applyFont="1" applyBorder="1" applyAlignment="1">
      <alignment horizontal="center"/>
    </xf>
    <xf numFmtId="0" fontId="22" fillId="0" borderId="39" xfId="0" applyFont="1" applyBorder="1" applyAlignment="1">
      <alignment horizontal="center"/>
    </xf>
    <xf numFmtId="0" fontId="22" fillId="0" borderId="6" xfId="0" applyFont="1" applyBorder="1" applyAlignment="1">
      <alignment horizontal="center"/>
    </xf>
    <xf numFmtId="0" fontId="22" fillId="0" borderId="1" xfId="0" applyFont="1" applyBorder="1"/>
    <xf numFmtId="0" fontId="22" fillId="0" borderId="1" xfId="0" applyFont="1" applyBorder="1" applyAlignment="1">
      <alignment horizontal="center"/>
    </xf>
    <xf numFmtId="0" fontId="22" fillId="0" borderId="53" xfId="0" applyFont="1" applyBorder="1" applyAlignment="1">
      <alignment horizontal="center"/>
    </xf>
    <xf numFmtId="0" fontId="22" fillId="0" borderId="47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4" fillId="0" borderId="4" xfId="0" applyFont="1" applyBorder="1" applyAlignment="1">
      <alignment horizontal="right"/>
    </xf>
    <xf numFmtId="0" fontId="24" fillId="0" borderId="4" xfId="0" applyFont="1" applyBorder="1" applyAlignment="1">
      <alignment horizontal="center"/>
    </xf>
    <xf numFmtId="0" fontId="24" fillId="0" borderId="23" xfId="0" applyFont="1" applyBorder="1" applyAlignment="1">
      <alignment horizontal="center"/>
    </xf>
    <xf numFmtId="0" fontId="24" fillId="0" borderId="39" xfId="0" applyFont="1" applyBorder="1" applyAlignment="1">
      <alignment horizontal="center"/>
    </xf>
    <xf numFmtId="0" fontId="24" fillId="0" borderId="8" xfId="0" applyFont="1" applyBorder="1" applyAlignment="1">
      <alignment horizontal="center"/>
    </xf>
    <xf numFmtId="0" fontId="24" fillId="0" borderId="9" xfId="0" applyFont="1" applyBorder="1" applyAlignment="1">
      <alignment horizontal="right"/>
    </xf>
    <xf numFmtId="0" fontId="24" fillId="0" borderId="9" xfId="0" applyFont="1" applyBorder="1" applyAlignment="1">
      <alignment horizontal="center"/>
    </xf>
    <xf numFmtId="0" fontId="24" fillId="0" borderId="24" xfId="0" applyFont="1" applyBorder="1" applyAlignment="1">
      <alignment horizontal="center"/>
    </xf>
    <xf numFmtId="0" fontId="24" fillId="0" borderId="45" xfId="0" applyFont="1" applyBorder="1" applyAlignment="1">
      <alignment horizontal="center"/>
    </xf>
    <xf numFmtId="0" fontId="30" fillId="0" borderId="0" xfId="0" applyFont="1" applyAlignment="1">
      <alignment horizontal="left"/>
    </xf>
    <xf numFmtId="0" fontId="30" fillId="0" borderId="0" xfId="0" applyFont="1"/>
    <xf numFmtId="0" fontId="32" fillId="0" borderId="0" xfId="0" applyFont="1" applyAlignment="1">
      <alignment horizontal="center"/>
    </xf>
    <xf numFmtId="0" fontId="32" fillId="0" borderId="0" xfId="0" applyFont="1"/>
    <xf numFmtId="0" fontId="30" fillId="0" borderId="0" xfId="0" applyFont="1" applyAlignment="1">
      <alignment horizontal="center"/>
    </xf>
    <xf numFmtId="0" fontId="11" fillId="0" borderId="31" xfId="0" applyFont="1" applyBorder="1" applyAlignment="1">
      <alignment horizontal="center"/>
    </xf>
    <xf numFmtId="0" fontId="16" fillId="0" borderId="40" xfId="0" applyFont="1" applyFill="1" applyBorder="1" applyAlignment="1">
      <alignment horizontal="left" textRotation="90" wrapText="1"/>
    </xf>
    <xf numFmtId="0" fontId="16" fillId="0" borderId="41" xfId="0" applyFont="1" applyFill="1" applyBorder="1" applyAlignment="1">
      <alignment horizontal="left" textRotation="90" wrapText="1"/>
    </xf>
    <xf numFmtId="0" fontId="16" fillId="0" borderId="50" xfId="0" applyFont="1" applyFill="1" applyBorder="1" applyAlignment="1">
      <alignment horizontal="left" textRotation="90" wrapText="1"/>
    </xf>
    <xf numFmtId="0" fontId="16" fillId="0" borderId="22" xfId="0" applyFont="1" applyFill="1" applyBorder="1" applyAlignment="1">
      <alignment horizontal="left" textRotation="90" wrapText="1"/>
    </xf>
    <xf numFmtId="0" fontId="16" fillId="0" borderId="35" xfId="0" applyFont="1" applyFill="1" applyBorder="1" applyAlignment="1">
      <alignment horizontal="left" textRotation="90" wrapText="1"/>
    </xf>
    <xf numFmtId="0" fontId="16" fillId="0" borderId="21" xfId="0" applyFont="1" applyFill="1" applyBorder="1" applyAlignment="1">
      <alignment horizontal="left" textRotation="90" wrapText="1"/>
    </xf>
    <xf numFmtId="0" fontId="11" fillId="0" borderId="34" xfId="0" applyFont="1" applyBorder="1" applyAlignment="1">
      <alignment horizontal="left" textRotation="90" wrapText="1"/>
    </xf>
    <xf numFmtId="0" fontId="11" fillId="0" borderId="23" xfId="0" applyFont="1" applyBorder="1" applyAlignment="1">
      <alignment horizontal="center"/>
    </xf>
    <xf numFmtId="0" fontId="11" fillId="0" borderId="3" xfId="0" applyFont="1" applyBorder="1"/>
    <xf numFmtId="0" fontId="11" fillId="0" borderId="58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15" xfId="0" applyFont="1" applyBorder="1"/>
    <xf numFmtId="0" fontId="11" fillId="0" borderId="18" xfId="0" applyFont="1" applyBorder="1"/>
    <xf numFmtId="0" fontId="11" fillId="0" borderId="23" xfId="0" applyFont="1" applyBorder="1"/>
    <xf numFmtId="0" fontId="11" fillId="0" borderId="5" xfId="0" applyFont="1" applyBorder="1"/>
    <xf numFmtId="0" fontId="11" fillId="0" borderId="53" xfId="0" applyFont="1" applyBorder="1" applyAlignment="1">
      <alignment horizontal="center"/>
    </xf>
    <xf numFmtId="0" fontId="11" fillId="0" borderId="6" xfId="0" applyFont="1" applyBorder="1"/>
    <xf numFmtId="0" fontId="11" fillId="0" borderId="36" xfId="0" applyFont="1" applyBorder="1" applyAlignment="1">
      <alignment horizontal="center"/>
    </xf>
    <xf numFmtId="0" fontId="11" fillId="0" borderId="2" xfId="0" applyFont="1" applyBorder="1"/>
    <xf numFmtId="0" fontId="11" fillId="0" borderId="53" xfId="0" applyFont="1" applyBorder="1"/>
    <xf numFmtId="0" fontId="11" fillId="0" borderId="7" xfId="0" applyFont="1" applyBorder="1"/>
    <xf numFmtId="2" fontId="11" fillId="0" borderId="36" xfId="0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2" fontId="11" fillId="0" borderId="36" xfId="0" applyNumberFormat="1" applyFont="1" applyFill="1" applyBorder="1" applyAlignment="1">
      <alignment horizontal="center"/>
    </xf>
    <xf numFmtId="2" fontId="11" fillId="0" borderId="1" xfId="0" applyNumberFormat="1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2" fontId="11" fillId="0" borderId="0" xfId="0" applyNumberFormat="1" applyFont="1"/>
    <xf numFmtId="0" fontId="16" fillId="0" borderId="53" xfId="0" applyFont="1" applyBorder="1" applyAlignment="1">
      <alignment horizontal="center"/>
    </xf>
    <xf numFmtId="0" fontId="16" fillId="0" borderId="6" xfId="0" applyFont="1" applyBorder="1"/>
    <xf numFmtId="0" fontId="16" fillId="0" borderId="7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164" fontId="11" fillId="0" borderId="36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2" fontId="11" fillId="0" borderId="6" xfId="0" applyNumberFormat="1" applyFont="1" applyBorder="1" applyAlignment="1">
      <alignment horizontal="center"/>
    </xf>
    <xf numFmtId="0" fontId="11" fillId="0" borderId="64" xfId="0" applyFont="1" applyBorder="1" applyAlignment="1">
      <alignment horizontal="center"/>
    </xf>
    <xf numFmtId="0" fontId="11" fillId="0" borderId="11" xfId="0" applyFont="1" applyBorder="1"/>
    <xf numFmtId="0" fontId="11" fillId="0" borderId="12" xfId="0" applyFont="1" applyBorder="1" applyAlignment="1">
      <alignment horizontal="center"/>
    </xf>
    <xf numFmtId="164" fontId="11" fillId="0" borderId="62" xfId="0" applyNumberFormat="1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3" xfId="0" applyFont="1" applyBorder="1"/>
    <xf numFmtId="0" fontId="12" fillId="0" borderId="26" xfId="0" applyFont="1" applyBorder="1" applyAlignment="1">
      <alignment horizontal="center"/>
    </xf>
    <xf numFmtId="0" fontId="12" fillId="0" borderId="40" xfId="0" applyFont="1" applyBorder="1" applyAlignment="1">
      <alignment horizontal="right"/>
    </xf>
    <xf numFmtId="164" fontId="12" fillId="0" borderId="5" xfId="0" applyNumberFormat="1" applyFont="1" applyBorder="1" applyAlignment="1">
      <alignment horizontal="center"/>
    </xf>
    <xf numFmtId="164" fontId="12" fillId="0" borderId="3" xfId="0" applyNumberFormat="1" applyFont="1" applyBorder="1" applyAlignment="1">
      <alignment horizontal="center"/>
    </xf>
    <xf numFmtId="164" fontId="12" fillId="0" borderId="4" xfId="0" applyNumberFormat="1" applyFont="1" applyBorder="1" applyAlignment="1">
      <alignment horizontal="center"/>
    </xf>
    <xf numFmtId="164" fontId="12" fillId="0" borderId="37" xfId="0" applyNumberFormat="1" applyFont="1" applyFill="1" applyBorder="1" applyAlignment="1">
      <alignment horizontal="center"/>
    </xf>
    <xf numFmtId="2" fontId="12" fillId="0" borderId="4" xfId="0" applyNumberFormat="1" applyFont="1" applyFill="1" applyBorder="1" applyAlignment="1">
      <alignment horizontal="center"/>
    </xf>
    <xf numFmtId="0" fontId="12" fillId="0" borderId="18" xfId="0" applyFont="1" applyBorder="1"/>
    <xf numFmtId="0" fontId="12" fillId="0" borderId="45" xfId="0" applyFont="1" applyBorder="1" applyAlignment="1">
      <alignment horizontal="right"/>
    </xf>
    <xf numFmtId="164" fontId="12" fillId="0" borderId="49" xfId="0" applyNumberFormat="1" applyFont="1" applyBorder="1" applyAlignment="1">
      <alignment horizontal="center"/>
    </xf>
    <xf numFmtId="164" fontId="12" fillId="0" borderId="8" xfId="0" applyNumberFormat="1" applyFont="1" applyBorder="1" applyAlignment="1">
      <alignment horizontal="center"/>
    </xf>
    <xf numFmtId="164" fontId="12" fillId="0" borderId="9" xfId="0" applyNumberFormat="1" applyFont="1" applyBorder="1" applyAlignment="1">
      <alignment horizontal="center"/>
    </xf>
    <xf numFmtId="164" fontId="12" fillId="0" borderId="10" xfId="0" applyNumberFormat="1" applyFont="1" applyBorder="1" applyAlignment="1">
      <alignment horizontal="center"/>
    </xf>
    <xf numFmtId="164" fontId="12" fillId="0" borderId="38" xfId="0" applyNumberFormat="1" applyFont="1" applyFill="1" applyBorder="1" applyAlignment="1">
      <alignment horizontal="center"/>
    </xf>
    <xf numFmtId="2" fontId="12" fillId="0" borderId="9" xfId="0" applyNumberFormat="1" applyFont="1" applyFill="1" applyBorder="1" applyAlignment="1">
      <alignment horizontal="center"/>
    </xf>
    <xf numFmtId="0" fontId="12" fillId="0" borderId="19" xfId="0" applyFont="1" applyFill="1" applyBorder="1" applyAlignment="1">
      <alignment horizontal="center"/>
    </xf>
    <xf numFmtId="0" fontId="12" fillId="0" borderId="19" xfId="0" applyFont="1" applyBorder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6" fillId="0" borderId="41" xfId="0" applyFont="1" applyBorder="1" applyAlignment="1">
      <alignment horizontal="left" textRotation="90" wrapText="1"/>
    </xf>
    <xf numFmtId="0" fontId="16" fillId="0" borderId="32" xfId="0" applyFont="1" applyBorder="1" applyAlignment="1">
      <alignment horizontal="left" textRotation="90" wrapText="1"/>
    </xf>
    <xf numFmtId="164" fontId="11" fillId="0" borderId="3" xfId="0" applyNumberFormat="1" applyFont="1" applyBorder="1" applyAlignment="1">
      <alignment horizontal="center"/>
    </xf>
    <xf numFmtId="164" fontId="11" fillId="0" borderId="4" xfId="0" applyNumberFormat="1" applyFont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11" fillId="0" borderId="3" xfId="0" applyNumberFormat="1" applyFont="1" applyFill="1" applyBorder="1" applyAlignment="1">
      <alignment horizontal="center"/>
    </xf>
    <xf numFmtId="0" fontId="11" fillId="0" borderId="4" xfId="0" applyNumberFormat="1" applyFont="1" applyFill="1" applyBorder="1" applyAlignment="1">
      <alignment horizontal="center"/>
    </xf>
    <xf numFmtId="0" fontId="11" fillId="0" borderId="5" xfId="0" applyNumberFormat="1" applyFont="1" applyFill="1" applyBorder="1" applyAlignment="1">
      <alignment horizontal="center"/>
    </xf>
    <xf numFmtId="0" fontId="11" fillId="0" borderId="18" xfId="0" applyNumberFormat="1" applyFont="1" applyFill="1" applyBorder="1" applyAlignment="1">
      <alignment horizontal="center"/>
    </xf>
    <xf numFmtId="0" fontId="11" fillId="0" borderId="48" xfId="0" applyNumberFormat="1" applyFont="1" applyFill="1" applyBorder="1" applyAlignment="1">
      <alignment horizontal="center"/>
    </xf>
    <xf numFmtId="164" fontId="11" fillId="0" borderId="6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0" fontId="11" fillId="0" borderId="6" xfId="0" applyNumberFormat="1" applyFont="1" applyFill="1" applyBorder="1" applyAlignment="1">
      <alignment horizontal="center"/>
    </xf>
    <xf numFmtId="0" fontId="11" fillId="0" borderId="1" xfId="0" applyNumberFormat="1" applyFont="1" applyFill="1" applyBorder="1" applyAlignment="1">
      <alignment horizontal="center"/>
    </xf>
    <xf numFmtId="0" fontId="11" fillId="0" borderId="7" xfId="0" applyNumberFormat="1" applyFont="1" applyFill="1" applyBorder="1" applyAlignment="1">
      <alignment horizontal="center"/>
    </xf>
    <xf numFmtId="0" fontId="11" fillId="0" borderId="2" xfId="0" applyNumberFormat="1" applyFont="1" applyFill="1" applyBorder="1" applyAlignment="1">
      <alignment horizontal="center"/>
    </xf>
    <xf numFmtId="0" fontId="11" fillId="0" borderId="69" xfId="0" applyNumberFormat="1" applyFont="1" applyFill="1" applyBorder="1" applyAlignment="1">
      <alignment horizontal="center"/>
    </xf>
    <xf numFmtId="2" fontId="11" fillId="0" borderId="2" xfId="0" applyNumberFormat="1" applyFont="1" applyBorder="1" applyAlignment="1">
      <alignment horizontal="center"/>
    </xf>
    <xf numFmtId="0" fontId="11" fillId="0" borderId="6" xfId="0" applyNumberFormat="1" applyFont="1" applyBorder="1" applyAlignment="1">
      <alignment horizontal="center"/>
    </xf>
    <xf numFmtId="0" fontId="11" fillId="0" borderId="1" xfId="0" applyNumberFormat="1" applyFont="1" applyBorder="1" applyAlignment="1">
      <alignment horizontal="center"/>
    </xf>
    <xf numFmtId="0" fontId="11" fillId="0" borderId="7" xfId="0" applyNumberFormat="1" applyFont="1" applyBorder="1" applyAlignment="1">
      <alignment horizontal="center"/>
    </xf>
    <xf numFmtId="0" fontId="11" fillId="0" borderId="2" xfId="0" applyNumberFormat="1" applyFont="1" applyBorder="1" applyAlignment="1">
      <alignment horizontal="center"/>
    </xf>
    <xf numFmtId="0" fontId="11" fillId="0" borderId="69" xfId="0" applyNumberFormat="1" applyFont="1" applyBorder="1" applyAlignment="1">
      <alignment horizontal="center"/>
    </xf>
    <xf numFmtId="164" fontId="11" fillId="0" borderId="0" xfId="0" applyNumberFormat="1" applyFont="1" applyAlignment="1">
      <alignment horizontal="center"/>
    </xf>
    <xf numFmtId="0" fontId="11" fillId="0" borderId="55" xfId="0" applyFont="1" applyBorder="1"/>
    <xf numFmtId="164" fontId="11" fillId="0" borderId="11" xfId="0" applyNumberFormat="1" applyFont="1" applyBorder="1" applyAlignment="1">
      <alignment horizontal="center"/>
    </xf>
    <xf numFmtId="164" fontId="11" fillId="0" borderId="12" xfId="0" applyNumberFormat="1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11" xfId="0" applyNumberFormat="1" applyFont="1" applyBorder="1" applyAlignment="1">
      <alignment horizontal="center"/>
    </xf>
    <xf numFmtId="0" fontId="11" fillId="0" borderId="12" xfId="0" applyNumberFormat="1" applyFont="1" applyBorder="1" applyAlignment="1">
      <alignment horizontal="center"/>
    </xf>
    <xf numFmtId="0" fontId="11" fillId="0" borderId="13" xfId="0" applyNumberFormat="1" applyFont="1" applyBorder="1" applyAlignment="1">
      <alignment horizontal="center"/>
    </xf>
    <xf numFmtId="0" fontId="11" fillId="0" borderId="33" xfId="0" applyNumberFormat="1" applyFont="1" applyBorder="1" applyAlignment="1">
      <alignment horizontal="center"/>
    </xf>
    <xf numFmtId="0" fontId="11" fillId="0" borderId="70" xfId="0" applyNumberFormat="1" applyFont="1" applyBorder="1" applyAlignment="1">
      <alignment horizontal="center"/>
    </xf>
    <xf numFmtId="0" fontId="12" fillId="0" borderId="18" xfId="0" applyFont="1" applyBorder="1" applyAlignment="1">
      <alignment horizontal="right"/>
    </xf>
    <xf numFmtId="2" fontId="12" fillId="0" borderId="3" xfId="0" applyNumberFormat="1" applyFont="1" applyBorder="1" applyAlignment="1">
      <alignment horizontal="center"/>
    </xf>
    <xf numFmtId="2" fontId="12" fillId="0" borderId="4" xfId="0" applyNumberFormat="1" applyFont="1" applyBorder="1" applyAlignment="1">
      <alignment horizontal="center"/>
    </xf>
    <xf numFmtId="2" fontId="12" fillId="0" borderId="18" xfId="0" applyNumberFormat="1" applyFont="1" applyBorder="1" applyAlignment="1">
      <alignment horizontal="center"/>
    </xf>
    <xf numFmtId="0" fontId="12" fillId="0" borderId="48" xfId="0" applyFont="1" applyBorder="1" applyAlignment="1">
      <alignment horizontal="center"/>
    </xf>
    <xf numFmtId="2" fontId="12" fillId="0" borderId="54" xfId="0" applyNumberFormat="1" applyFont="1" applyBorder="1" applyAlignment="1">
      <alignment horizontal="center"/>
    </xf>
    <xf numFmtId="2" fontId="12" fillId="0" borderId="63" xfId="0" applyNumberFormat="1" applyFont="1" applyBorder="1" applyAlignment="1">
      <alignment horizontal="center"/>
    </xf>
    <xf numFmtId="0" fontId="12" fillId="0" borderId="3" xfId="0" applyNumberFormat="1" applyFont="1" applyBorder="1" applyAlignment="1">
      <alignment horizontal="center"/>
    </xf>
    <xf numFmtId="0" fontId="12" fillId="0" borderId="4" xfId="0" applyNumberFormat="1" applyFont="1" applyBorder="1" applyAlignment="1">
      <alignment horizontal="center"/>
    </xf>
    <xf numFmtId="0" fontId="12" fillId="0" borderId="18" xfId="0" applyNumberFormat="1" applyFont="1" applyBorder="1" applyAlignment="1">
      <alignment horizontal="center"/>
    </xf>
    <xf numFmtId="0" fontId="12" fillId="0" borderId="23" xfId="0" applyNumberFormat="1" applyFont="1" applyBorder="1" applyAlignment="1">
      <alignment horizontal="center"/>
    </xf>
    <xf numFmtId="0" fontId="12" fillId="0" borderId="48" xfId="0" applyNumberFormat="1" applyFont="1" applyBorder="1" applyAlignment="1">
      <alignment horizontal="center"/>
    </xf>
    <xf numFmtId="0" fontId="12" fillId="0" borderId="19" xfId="0" applyFont="1" applyBorder="1" applyAlignment="1">
      <alignment horizontal="right"/>
    </xf>
    <xf numFmtId="2" fontId="12" fillId="0" borderId="9" xfId="0" applyNumberFormat="1" applyFont="1" applyBorder="1" applyAlignment="1">
      <alignment horizontal="center"/>
    </xf>
    <xf numFmtId="0" fontId="12" fillId="0" borderId="29" xfId="0" applyFont="1" applyBorder="1" applyAlignment="1">
      <alignment horizontal="center"/>
    </xf>
    <xf numFmtId="2" fontId="12" fillId="0" borderId="24" xfId="0" applyNumberFormat="1" applyFont="1" applyBorder="1" applyAlignment="1">
      <alignment horizontal="center"/>
    </xf>
    <xf numFmtId="2" fontId="12" fillId="0" borderId="28" xfId="0" applyNumberFormat="1" applyFont="1" applyBorder="1" applyAlignment="1">
      <alignment horizontal="center"/>
    </xf>
    <xf numFmtId="0" fontId="12" fillId="0" borderId="24" xfId="0" applyNumberFormat="1" applyFont="1" applyBorder="1" applyAlignment="1">
      <alignment horizontal="center"/>
    </xf>
    <xf numFmtId="0" fontId="12" fillId="0" borderId="9" xfId="0" applyNumberFormat="1" applyFont="1" applyBorder="1" applyAlignment="1">
      <alignment horizontal="center"/>
    </xf>
    <xf numFmtId="0" fontId="12" fillId="0" borderId="28" xfId="0" applyNumberFormat="1" applyFont="1" applyBorder="1" applyAlignment="1">
      <alignment horizontal="center"/>
    </xf>
    <xf numFmtId="0" fontId="12" fillId="0" borderId="29" xfId="0" applyNumberFormat="1" applyFont="1" applyBorder="1" applyAlignment="1">
      <alignment horizontal="center"/>
    </xf>
    <xf numFmtId="0" fontId="22" fillId="0" borderId="4" xfId="0" applyFont="1" applyFill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2" fillId="0" borderId="3" xfId="0" applyFont="1" applyFill="1" applyBorder="1" applyAlignment="1">
      <alignment horizontal="center"/>
    </xf>
    <xf numFmtId="0" fontId="22" fillId="0" borderId="18" xfId="0" applyFont="1" applyFill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0" fontId="22" fillId="0" borderId="7" xfId="0" applyFont="1" applyBorder="1" applyAlignment="1">
      <alignment horizontal="center"/>
    </xf>
    <xf numFmtId="0" fontId="22" fillId="0" borderId="6" xfId="0" applyFont="1" applyFill="1" applyBorder="1" applyAlignment="1">
      <alignment horizontal="center"/>
    </xf>
    <xf numFmtId="0" fontId="22" fillId="0" borderId="2" xfId="0" applyFont="1" applyFill="1" applyBorder="1" applyAlignment="1">
      <alignment horizontal="center"/>
    </xf>
    <xf numFmtId="0" fontId="24" fillId="0" borderId="0" xfId="0" applyFont="1"/>
    <xf numFmtId="0" fontId="22" fillId="0" borderId="33" xfId="0" applyFont="1" applyBorder="1" applyAlignment="1">
      <alignment horizontal="center"/>
    </xf>
    <xf numFmtId="0" fontId="22" fillId="0" borderId="12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16" fillId="0" borderId="50" xfId="0" applyFont="1" applyBorder="1" applyAlignment="1">
      <alignment horizontal="left" textRotation="90" wrapText="1"/>
    </xf>
    <xf numFmtId="0" fontId="35" fillId="0" borderId="0" xfId="0" applyFont="1" applyAlignment="1">
      <alignment horizontal="center"/>
    </xf>
    <xf numFmtId="0" fontId="11" fillId="0" borderId="30" xfId="0" applyFont="1" applyBorder="1" applyAlignment="1">
      <alignment horizontal="left" textRotation="90" wrapText="1"/>
    </xf>
    <xf numFmtId="0" fontId="11" fillId="0" borderId="20" xfId="0" applyFont="1" applyBorder="1" applyAlignment="1">
      <alignment horizontal="left" textRotation="90" wrapText="1"/>
    </xf>
    <xf numFmtId="0" fontId="11" fillId="0" borderId="37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1" fillId="0" borderId="0" xfId="0" applyFont="1" applyFill="1"/>
    <xf numFmtId="0" fontId="11" fillId="0" borderId="62" xfId="0" applyFont="1" applyBorder="1" applyAlignment="1">
      <alignment horizontal="center"/>
    </xf>
    <xf numFmtId="1" fontId="12" fillId="0" borderId="3" xfId="0" applyNumberFormat="1" applyFont="1" applyBorder="1" applyAlignment="1">
      <alignment horizontal="center"/>
    </xf>
    <xf numFmtId="1" fontId="12" fillId="0" borderId="8" xfId="0" applyNumberFormat="1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1" fillId="0" borderId="41" xfId="0" applyFont="1" applyBorder="1"/>
    <xf numFmtId="0" fontId="11" fillId="0" borderId="42" xfId="0" applyFont="1" applyBorder="1" applyAlignment="1">
      <alignment horizontal="center"/>
    </xf>
    <xf numFmtId="0" fontId="11" fillId="0" borderId="59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63" xfId="0" applyFont="1" applyBorder="1" applyAlignment="1">
      <alignment horizontal="center"/>
    </xf>
    <xf numFmtId="0" fontId="11" fillId="0" borderId="60" xfId="0" applyFont="1" applyBorder="1" applyAlignment="1">
      <alignment horizontal="center"/>
    </xf>
    <xf numFmtId="0" fontId="22" fillId="0" borderId="35" xfId="0" applyFont="1" applyFill="1" applyBorder="1" applyAlignment="1">
      <alignment horizontal="left" textRotation="90" wrapText="1"/>
    </xf>
    <xf numFmtId="0" fontId="22" fillId="0" borderId="31" xfId="0" applyFont="1" applyFill="1" applyBorder="1" applyAlignment="1">
      <alignment horizontal="left" textRotation="90" wrapText="1"/>
    </xf>
    <xf numFmtId="0" fontId="22" fillId="0" borderId="34" xfId="0" applyFont="1" applyFill="1" applyBorder="1" applyAlignment="1">
      <alignment horizontal="left" textRotation="90" wrapText="1"/>
    </xf>
    <xf numFmtId="0" fontId="22" fillId="0" borderId="22" xfId="0" applyFont="1" applyFill="1" applyBorder="1" applyAlignment="1">
      <alignment horizontal="left" textRotation="90" wrapText="1"/>
    </xf>
    <xf numFmtId="0" fontId="22" fillId="0" borderId="21" xfId="0" applyFont="1" applyFill="1" applyBorder="1" applyAlignment="1">
      <alignment horizontal="left" textRotation="90" wrapText="1"/>
    </xf>
    <xf numFmtId="0" fontId="22" fillId="0" borderId="7" xfId="0" applyFont="1" applyFill="1" applyBorder="1" applyAlignment="1">
      <alignment horizontal="center"/>
    </xf>
    <xf numFmtId="0" fontId="22" fillId="0" borderId="36" xfId="0" applyFont="1" applyFill="1" applyBorder="1" applyAlignment="1">
      <alignment horizontal="center"/>
    </xf>
    <xf numFmtId="0" fontId="22" fillId="0" borderId="19" xfId="0" applyFont="1" applyFill="1" applyBorder="1" applyAlignment="1">
      <alignment horizontal="center"/>
    </xf>
    <xf numFmtId="0" fontId="22" fillId="0" borderId="13" xfId="0" applyFont="1" applyFill="1" applyBorder="1" applyAlignment="1">
      <alignment horizontal="center"/>
    </xf>
    <xf numFmtId="0" fontId="24" fillId="0" borderId="18" xfId="0" applyFont="1" applyBorder="1" applyAlignment="1">
      <alignment horizontal="center"/>
    </xf>
    <xf numFmtId="0" fontId="11" fillId="0" borderId="22" xfId="0" applyFont="1" applyBorder="1" applyAlignment="1">
      <alignment horizontal="left" textRotation="90" wrapText="1"/>
    </xf>
    <xf numFmtId="0" fontId="11" fillId="0" borderId="12" xfId="0" applyFont="1" applyBorder="1"/>
    <xf numFmtId="0" fontId="11" fillId="0" borderId="51" xfId="0" applyFont="1" applyBorder="1" applyAlignment="1">
      <alignment horizontal="center"/>
    </xf>
    <xf numFmtId="0" fontId="11" fillId="0" borderId="52" xfId="0" applyFont="1" applyBorder="1" applyAlignment="1">
      <alignment horizontal="center"/>
    </xf>
    <xf numFmtId="0" fontId="12" fillId="0" borderId="4" xfId="0" applyFont="1" applyBorder="1" applyAlignment="1">
      <alignment horizontal="right"/>
    </xf>
    <xf numFmtId="0" fontId="11" fillId="0" borderId="20" xfId="0" applyFont="1" applyBorder="1"/>
    <xf numFmtId="0" fontId="11" fillId="0" borderId="40" xfId="0" applyFont="1" applyBorder="1" applyAlignment="1">
      <alignment horizontal="left" textRotation="90" wrapText="1"/>
    </xf>
    <xf numFmtId="0" fontId="11" fillId="0" borderId="41" xfId="0" applyFont="1" applyBorder="1" applyAlignment="1">
      <alignment horizontal="left" textRotation="90" wrapText="1"/>
    </xf>
    <xf numFmtId="0" fontId="11" fillId="0" borderId="50" xfId="0" applyFont="1" applyBorder="1" applyAlignment="1">
      <alignment horizontal="left" textRotation="90" wrapText="1"/>
    </xf>
    <xf numFmtId="0" fontId="12" fillId="0" borderId="26" xfId="0" applyFont="1" applyBorder="1" applyAlignment="1">
      <alignment horizontal="left" textRotation="90" wrapText="1"/>
    </xf>
    <xf numFmtId="0" fontId="37" fillId="0" borderId="50" xfId="0" applyFont="1" applyBorder="1" applyAlignment="1">
      <alignment horizontal="left" textRotation="90" wrapText="1"/>
    </xf>
    <xf numFmtId="0" fontId="37" fillId="0" borderId="30" xfId="0" applyFont="1" applyBorder="1" applyAlignment="1">
      <alignment horizontal="left" textRotation="90" wrapText="1"/>
    </xf>
    <xf numFmtId="0" fontId="37" fillId="0" borderId="22" xfId="0" applyFont="1" applyBorder="1" applyAlignment="1">
      <alignment horizontal="left" textRotation="90" wrapText="1"/>
    </xf>
    <xf numFmtId="0" fontId="11" fillId="0" borderId="26" xfId="0" applyFont="1" applyBorder="1" applyAlignment="1">
      <alignment horizontal="left" textRotation="90" wrapText="1"/>
    </xf>
    <xf numFmtId="0" fontId="12" fillId="0" borderId="34" xfId="0" applyFont="1" applyBorder="1" applyAlignment="1">
      <alignment horizontal="left" textRotation="90" wrapText="1"/>
    </xf>
    <xf numFmtId="0" fontId="11" fillId="0" borderId="16" xfId="0" applyFont="1" applyBorder="1"/>
    <xf numFmtId="0" fontId="16" fillId="0" borderId="2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61" xfId="0" applyFont="1" applyBorder="1" applyAlignment="1">
      <alignment horizontal="center"/>
    </xf>
    <xf numFmtId="0" fontId="12" fillId="0" borderId="46" xfId="0" applyFont="1" applyBorder="1" applyAlignment="1">
      <alignment horizontal="right"/>
    </xf>
    <xf numFmtId="164" fontId="12" fillId="0" borderId="48" xfId="0" applyNumberFormat="1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35" fillId="0" borderId="20" xfId="0" applyFont="1" applyFill="1" applyBorder="1" applyAlignment="1">
      <alignment horizontal="center" vertical="center"/>
    </xf>
    <xf numFmtId="0" fontId="35" fillId="0" borderId="21" xfId="0" applyFont="1" applyFill="1" applyBorder="1" applyAlignment="1">
      <alignment horizontal="center" vertical="center"/>
    </xf>
    <xf numFmtId="0" fontId="35" fillId="0" borderId="31" xfId="0" applyFont="1" applyFill="1" applyBorder="1" applyAlignment="1">
      <alignment horizontal="center" vertical="center"/>
    </xf>
    <xf numFmtId="0" fontId="35" fillId="0" borderId="34" xfId="0" applyFont="1" applyFill="1" applyBorder="1" applyAlignment="1">
      <alignment horizontal="center" vertical="center"/>
    </xf>
    <xf numFmtId="0" fontId="12" fillId="0" borderId="0" xfId="0" applyFont="1" applyFill="1"/>
    <xf numFmtId="0" fontId="12" fillId="0" borderId="44" xfId="0" applyFont="1" applyBorder="1"/>
    <xf numFmtId="0" fontId="11" fillId="0" borderId="43" xfId="0" applyFont="1" applyBorder="1" applyAlignment="1">
      <alignment horizontal="left" textRotation="90" wrapText="1"/>
    </xf>
    <xf numFmtId="0" fontId="37" fillId="0" borderId="34" xfId="0" applyFont="1" applyBorder="1" applyAlignment="1">
      <alignment horizontal="left" textRotation="90" wrapText="1"/>
    </xf>
    <xf numFmtId="0" fontId="12" fillId="0" borderId="44" xfId="0" applyFont="1" applyFill="1" applyBorder="1" applyAlignment="1">
      <alignment horizontal="left" textRotation="90" wrapText="1"/>
    </xf>
    <xf numFmtId="0" fontId="11" fillId="0" borderId="67" xfId="0" applyFont="1" applyBorder="1" applyAlignment="1">
      <alignment horizontal="center"/>
    </xf>
    <xf numFmtId="0" fontId="11" fillId="0" borderId="47" xfId="0" applyFont="1" applyBorder="1" applyAlignment="1">
      <alignment horizontal="center"/>
    </xf>
    <xf numFmtId="0" fontId="11" fillId="0" borderId="68" xfId="0" applyFont="1" applyBorder="1" applyAlignment="1">
      <alignment horizontal="center"/>
    </xf>
    <xf numFmtId="0" fontId="12" fillId="0" borderId="40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2" fillId="0" borderId="43" xfId="0" applyFont="1" applyBorder="1" applyAlignment="1">
      <alignment horizontal="center"/>
    </xf>
    <xf numFmtId="0" fontId="12" fillId="0" borderId="27" xfId="0" applyFont="1" applyBorder="1" applyAlignment="1">
      <alignment horizontal="center"/>
    </xf>
    <xf numFmtId="0" fontId="12" fillId="0" borderId="50" xfId="0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0" fontId="12" fillId="0" borderId="46" xfId="0" applyFont="1" applyBorder="1" applyAlignment="1">
      <alignment horizontal="center"/>
    </xf>
    <xf numFmtId="0" fontId="12" fillId="0" borderId="38" xfId="0" applyFont="1" applyBorder="1" applyAlignment="1">
      <alignment horizontal="center"/>
    </xf>
    <xf numFmtId="0" fontId="12" fillId="0" borderId="28" xfId="0" applyFont="1" applyBorder="1" applyAlignment="1">
      <alignment horizontal="center"/>
    </xf>
    <xf numFmtId="0" fontId="12" fillId="0" borderId="45" xfId="0" applyFont="1" applyBorder="1" applyAlignment="1">
      <alignment horizontal="center"/>
    </xf>
    <xf numFmtId="0" fontId="22" fillId="0" borderId="0" xfId="0" applyFont="1" applyFill="1"/>
    <xf numFmtId="0" fontId="22" fillId="0" borderId="0" xfId="0" applyFont="1" applyFill="1" applyAlignment="1">
      <alignment horizontal="center"/>
    </xf>
    <xf numFmtId="0" fontId="36" fillId="0" borderId="20" xfId="0" applyFont="1" applyFill="1" applyBorder="1" applyAlignment="1">
      <alignment horizontal="center" vertical="center"/>
    </xf>
    <xf numFmtId="0" fontId="36" fillId="0" borderId="21" xfId="0" applyFont="1" applyFill="1" applyBorder="1" applyAlignment="1">
      <alignment horizontal="center" vertical="center"/>
    </xf>
    <xf numFmtId="0" fontId="36" fillId="0" borderId="31" xfId="0" applyFont="1" applyFill="1" applyBorder="1" applyAlignment="1">
      <alignment horizontal="center" vertical="center"/>
    </xf>
    <xf numFmtId="0" fontId="36" fillId="0" borderId="34" xfId="0" applyFont="1" applyFill="1" applyBorder="1" applyAlignment="1">
      <alignment horizontal="center" vertical="center"/>
    </xf>
    <xf numFmtId="0" fontId="36" fillId="0" borderId="22" xfId="0" applyFont="1" applyFill="1" applyBorder="1" applyAlignment="1">
      <alignment horizontal="center" vertical="center"/>
    </xf>
    <xf numFmtId="0" fontId="22" fillId="0" borderId="20" xfId="0" applyFont="1" applyBorder="1"/>
    <xf numFmtId="0" fontId="22" fillId="0" borderId="20" xfId="0" applyFont="1" applyFill="1" applyBorder="1" applyAlignment="1">
      <alignment horizontal="left" textRotation="90" wrapText="1"/>
    </xf>
    <xf numFmtId="0" fontId="22" fillId="0" borderId="0" xfId="0" applyFont="1" applyFill="1" applyAlignment="1">
      <alignment horizontal="left" textRotation="90" wrapText="1"/>
    </xf>
    <xf numFmtId="0" fontId="22" fillId="0" borderId="3" xfId="0" applyFont="1" applyBorder="1"/>
    <xf numFmtId="0" fontId="22" fillId="0" borderId="5" xfId="0" applyFont="1" applyFill="1" applyBorder="1" applyAlignment="1">
      <alignment horizontal="center"/>
    </xf>
    <xf numFmtId="0" fontId="22" fillId="0" borderId="6" xfId="0" applyFont="1" applyBorder="1"/>
    <xf numFmtId="0" fontId="22" fillId="0" borderId="16" xfId="0" applyFont="1" applyFill="1" applyBorder="1" applyAlignment="1">
      <alignment horizontal="center"/>
    </xf>
    <xf numFmtId="0" fontId="22" fillId="0" borderId="14" xfId="0" applyFont="1" applyFill="1" applyBorder="1" applyAlignment="1">
      <alignment horizontal="center"/>
    </xf>
    <xf numFmtId="0" fontId="22" fillId="0" borderId="15" xfId="0" applyFont="1" applyFill="1" applyBorder="1" applyAlignment="1">
      <alignment horizontal="center"/>
    </xf>
    <xf numFmtId="0" fontId="22" fillId="0" borderId="17" xfId="0" applyFont="1" applyFill="1" applyBorder="1" applyAlignment="1">
      <alignment horizontal="center"/>
    </xf>
    <xf numFmtId="0" fontId="27" fillId="0" borderId="53" xfId="0" applyFont="1" applyBorder="1" applyAlignment="1">
      <alignment horizontal="center"/>
    </xf>
    <xf numFmtId="0" fontId="27" fillId="0" borderId="6" xfId="0" applyFont="1" applyBorder="1"/>
    <xf numFmtId="0" fontId="27" fillId="0" borderId="7" xfId="0" applyFont="1" applyBorder="1" applyAlignment="1">
      <alignment horizontal="center"/>
    </xf>
    <xf numFmtId="0" fontId="22" fillId="0" borderId="64" xfId="0" applyFont="1" applyBorder="1" applyAlignment="1">
      <alignment horizontal="center"/>
    </xf>
    <xf numFmtId="0" fontId="22" fillId="0" borderId="11" xfId="0" applyFont="1" applyBorder="1"/>
    <xf numFmtId="0" fontId="22" fillId="0" borderId="11" xfId="0" applyFont="1" applyBorder="1" applyAlignment="1">
      <alignment horizontal="center"/>
    </xf>
    <xf numFmtId="0" fontId="22" fillId="0" borderId="12" xfId="0" applyFont="1" applyFill="1" applyBorder="1" applyAlignment="1">
      <alignment horizontal="center"/>
    </xf>
    <xf numFmtId="0" fontId="24" fillId="0" borderId="26" xfId="0" applyFont="1" applyBorder="1" applyAlignment="1">
      <alignment horizontal="center"/>
    </xf>
    <xf numFmtId="0" fontId="24" fillId="0" borderId="46" xfId="0" applyFont="1" applyBorder="1" applyAlignment="1">
      <alignment horizontal="right"/>
    </xf>
    <xf numFmtId="164" fontId="24" fillId="0" borderId="48" xfId="0" applyNumberFormat="1" applyFont="1" applyBorder="1" applyAlignment="1">
      <alignment horizontal="center"/>
    </xf>
    <xf numFmtId="0" fontId="24" fillId="0" borderId="4" xfId="0" applyFont="1" applyFill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4" fillId="0" borderId="45" xfId="0" applyFont="1" applyBorder="1" applyAlignment="1">
      <alignment horizontal="right"/>
    </xf>
    <xf numFmtId="164" fontId="24" fillId="0" borderId="49" xfId="0" applyNumberFormat="1" applyFont="1" applyBorder="1" applyAlignment="1">
      <alignment horizontal="center"/>
    </xf>
    <xf numFmtId="0" fontId="24" fillId="0" borderId="9" xfId="0" applyFont="1" applyFill="1" applyBorder="1" applyAlignment="1">
      <alignment horizontal="center"/>
    </xf>
    <xf numFmtId="0" fontId="24" fillId="0" borderId="19" xfId="0" applyFont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4" fillId="0" borderId="0" xfId="0" applyFont="1" applyFill="1"/>
    <xf numFmtId="0" fontId="35" fillId="0" borderId="32" xfId="0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horizontal="left" textRotation="90" wrapText="1"/>
    </xf>
    <xf numFmtId="0" fontId="11" fillId="0" borderId="41" xfId="0" applyFont="1" applyFill="1" applyBorder="1" applyAlignment="1">
      <alignment horizontal="left" textRotation="90" wrapText="1"/>
    </xf>
    <xf numFmtId="0" fontId="11" fillId="0" borderId="43" xfId="0" applyFont="1" applyFill="1" applyBorder="1" applyAlignment="1">
      <alignment horizontal="left" textRotation="90" wrapText="1"/>
    </xf>
    <xf numFmtId="0" fontId="12" fillId="0" borderId="6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0" borderId="7" xfId="0" applyFont="1" applyFill="1" applyBorder="1" applyAlignment="1">
      <alignment horizontal="center"/>
    </xf>
    <xf numFmtId="0" fontId="22" fillId="0" borderId="30" xfId="0" applyFont="1" applyFill="1" applyBorder="1" applyAlignment="1">
      <alignment horizontal="left" textRotation="90" wrapText="1"/>
    </xf>
    <xf numFmtId="0" fontId="27" fillId="0" borderId="21" xfId="0" applyFont="1" applyFill="1" applyBorder="1" applyAlignment="1">
      <alignment horizontal="left" textRotation="90" wrapText="1"/>
    </xf>
    <xf numFmtId="0" fontId="27" fillId="0" borderId="22" xfId="0" applyFont="1" applyFill="1" applyBorder="1" applyAlignment="1">
      <alignment horizontal="left" textRotation="90" wrapText="1"/>
    </xf>
    <xf numFmtId="0" fontId="22" fillId="0" borderId="37" xfId="0" applyFont="1" applyFill="1" applyBorder="1" applyAlignment="1">
      <alignment horizontal="center"/>
    </xf>
    <xf numFmtId="0" fontId="22" fillId="0" borderId="58" xfId="0" applyFont="1" applyFill="1" applyBorder="1" applyAlignment="1">
      <alignment horizontal="center"/>
    </xf>
    <xf numFmtId="1" fontId="22" fillId="0" borderId="6" xfId="0" applyNumberFormat="1" applyFont="1" applyFill="1" applyBorder="1" applyAlignment="1">
      <alignment horizontal="center"/>
    </xf>
    <xf numFmtId="1" fontId="22" fillId="0" borderId="1" xfId="0" applyNumberFormat="1" applyFont="1" applyFill="1" applyBorder="1" applyAlignment="1">
      <alignment horizontal="center"/>
    </xf>
    <xf numFmtId="1" fontId="22" fillId="0" borderId="2" xfId="0" applyNumberFormat="1" applyFont="1" applyFill="1" applyBorder="1" applyAlignment="1">
      <alignment horizontal="center"/>
    </xf>
    <xf numFmtId="1" fontId="22" fillId="0" borderId="7" xfId="0" applyNumberFormat="1" applyFont="1" applyFill="1" applyBorder="1" applyAlignment="1">
      <alignment horizontal="center"/>
    </xf>
    <xf numFmtId="1" fontId="22" fillId="0" borderId="36" xfId="0" applyNumberFormat="1" applyFont="1" applyFill="1" applyBorder="1" applyAlignment="1">
      <alignment horizontal="center"/>
    </xf>
    <xf numFmtId="0" fontId="22" fillId="0" borderId="11" xfId="0" applyFont="1" applyFill="1" applyBorder="1" applyAlignment="1">
      <alignment horizontal="center"/>
    </xf>
    <xf numFmtId="0" fontId="22" fillId="0" borderId="62" xfId="0" applyFont="1" applyFill="1" applyBorder="1" applyAlignment="1">
      <alignment horizontal="center"/>
    </xf>
    <xf numFmtId="0" fontId="22" fillId="0" borderId="33" xfId="0" applyFont="1" applyFill="1" applyBorder="1" applyAlignment="1">
      <alignment horizontal="center"/>
    </xf>
    <xf numFmtId="1" fontId="24" fillId="0" borderId="3" xfId="0" applyNumberFormat="1" applyFont="1" applyFill="1" applyBorder="1" applyAlignment="1">
      <alignment horizontal="center"/>
    </xf>
    <xf numFmtId="1" fontId="24" fillId="0" borderId="37" xfId="0" applyNumberFormat="1" applyFont="1" applyFill="1" applyBorder="1" applyAlignment="1">
      <alignment horizontal="center"/>
    </xf>
    <xf numFmtId="1" fontId="24" fillId="0" borderId="4" xfId="0" applyNumberFormat="1" applyFont="1" applyFill="1" applyBorder="1" applyAlignment="1">
      <alignment horizontal="center"/>
    </xf>
    <xf numFmtId="1" fontId="24" fillId="0" borderId="18" xfId="0" applyNumberFormat="1" applyFont="1" applyFill="1" applyBorder="1" applyAlignment="1">
      <alignment horizontal="center"/>
    </xf>
    <xf numFmtId="1" fontId="24" fillId="0" borderId="5" xfId="0" applyNumberFormat="1" applyFont="1" applyFill="1" applyBorder="1" applyAlignment="1">
      <alignment horizontal="center"/>
    </xf>
    <xf numFmtId="1" fontId="24" fillId="0" borderId="8" xfId="0" applyNumberFormat="1" applyFont="1" applyFill="1" applyBorder="1" applyAlignment="1">
      <alignment horizontal="center"/>
    </xf>
    <xf numFmtId="1" fontId="24" fillId="0" borderId="38" xfId="0" applyNumberFormat="1" applyFont="1" applyFill="1" applyBorder="1" applyAlignment="1">
      <alignment horizontal="center"/>
    </xf>
    <xf numFmtId="1" fontId="24" fillId="0" borderId="9" xfId="0" applyNumberFormat="1" applyFont="1" applyFill="1" applyBorder="1" applyAlignment="1">
      <alignment horizontal="center"/>
    </xf>
    <xf numFmtId="1" fontId="24" fillId="0" borderId="19" xfId="0" applyNumberFormat="1" applyFont="1" applyFill="1" applyBorder="1" applyAlignment="1">
      <alignment horizontal="center"/>
    </xf>
    <xf numFmtId="1" fontId="24" fillId="0" borderId="10" xfId="0" applyNumberFormat="1" applyFont="1" applyFill="1" applyBorder="1" applyAlignment="1">
      <alignment horizontal="center"/>
    </xf>
    <xf numFmtId="0" fontId="24" fillId="0" borderId="72" xfId="0" applyFont="1" applyFill="1" applyBorder="1"/>
    <xf numFmtId="0" fontId="24" fillId="0" borderId="71" xfId="0" applyFont="1" applyFill="1" applyBorder="1"/>
    <xf numFmtId="0" fontId="24" fillId="0" borderId="71" xfId="0" applyFont="1" applyFill="1" applyBorder="1" applyAlignment="1">
      <alignment horizontal="center"/>
    </xf>
    <xf numFmtId="0" fontId="24" fillId="0" borderId="49" xfId="0" applyFont="1" applyFill="1" applyBorder="1" applyAlignment="1">
      <alignment horizontal="center"/>
    </xf>
    <xf numFmtId="0" fontId="27" fillId="0" borderId="34" xfId="0" applyFont="1" applyFill="1" applyBorder="1" applyAlignment="1">
      <alignment horizontal="left" textRotation="90" wrapText="1"/>
    </xf>
    <xf numFmtId="0" fontId="36" fillId="0" borderId="0" xfId="0" applyFont="1" applyFill="1" applyAlignment="1">
      <alignment horizontal="center"/>
    </xf>
    <xf numFmtId="0" fontId="22" fillId="0" borderId="30" xfId="0" applyFont="1" applyFill="1" applyBorder="1" applyAlignment="1">
      <alignment horizontal="center"/>
    </xf>
    <xf numFmtId="0" fontId="22" fillId="0" borderId="21" xfId="0" applyFont="1" applyFill="1" applyBorder="1"/>
    <xf numFmtId="0" fontId="22" fillId="0" borderId="31" xfId="0" applyFont="1" applyFill="1" applyBorder="1" applyAlignment="1">
      <alignment horizontal="center"/>
    </xf>
    <xf numFmtId="0" fontId="22" fillId="0" borderId="23" xfId="0" applyFont="1" applyFill="1" applyBorder="1" applyAlignment="1">
      <alignment horizontal="center"/>
    </xf>
    <xf numFmtId="0" fontId="22" fillId="0" borderId="3" xfId="0" applyFont="1" applyFill="1" applyBorder="1"/>
    <xf numFmtId="0" fontId="22" fillId="0" borderId="53" xfId="0" applyFont="1" applyFill="1" applyBorder="1" applyAlignment="1">
      <alignment horizontal="center"/>
    </xf>
    <xf numFmtId="0" fontId="22" fillId="0" borderId="6" xfId="0" applyFont="1" applyFill="1" applyBorder="1"/>
    <xf numFmtId="0" fontId="27" fillId="0" borderId="53" xfId="0" applyFont="1" applyFill="1" applyBorder="1" applyAlignment="1">
      <alignment horizontal="center"/>
    </xf>
    <xf numFmtId="0" fontId="27" fillId="0" borderId="6" xfId="0" applyFont="1" applyFill="1" applyBorder="1"/>
    <xf numFmtId="0" fontId="27" fillId="0" borderId="2" xfId="0" applyFont="1" applyFill="1" applyBorder="1" applyAlignment="1">
      <alignment horizontal="center"/>
    </xf>
    <xf numFmtId="0" fontId="22" fillId="0" borderId="24" xfId="0" applyFont="1" applyFill="1" applyBorder="1" applyAlignment="1">
      <alignment horizontal="center"/>
    </xf>
    <xf numFmtId="0" fontId="22" fillId="0" borderId="8" xfId="0" applyFont="1" applyFill="1" applyBorder="1"/>
    <xf numFmtId="0" fontId="24" fillId="0" borderId="26" xfId="0" applyFont="1" applyFill="1" applyBorder="1" applyAlignment="1">
      <alignment horizontal="center"/>
    </xf>
    <xf numFmtId="0" fontId="24" fillId="0" borderId="40" xfId="0" applyFont="1" applyFill="1" applyBorder="1" applyAlignment="1">
      <alignment horizontal="right"/>
    </xf>
    <xf numFmtId="164" fontId="24" fillId="0" borderId="18" xfId="0" applyNumberFormat="1" applyFont="1" applyFill="1" applyBorder="1" applyAlignment="1">
      <alignment horizontal="center"/>
    </xf>
    <xf numFmtId="0" fontId="24" fillId="0" borderId="24" xfId="0" applyFont="1" applyFill="1" applyBorder="1" applyAlignment="1">
      <alignment horizontal="center"/>
    </xf>
    <xf numFmtId="0" fontId="24" fillId="0" borderId="45" xfId="0" applyFont="1" applyFill="1" applyBorder="1" applyAlignment="1">
      <alignment horizontal="right"/>
    </xf>
    <xf numFmtId="164" fontId="24" fillId="0" borderId="71" xfId="0" applyNumberFormat="1" applyFont="1" applyFill="1" applyBorder="1" applyAlignment="1">
      <alignment horizontal="center"/>
    </xf>
    <xf numFmtId="0" fontId="24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30" fillId="0" borderId="0" xfId="0" applyFont="1" applyFill="1" applyAlignment="1">
      <alignment horizontal="left"/>
    </xf>
    <xf numFmtId="0" fontId="30" fillId="0" borderId="0" xfId="0" applyFont="1" applyFill="1"/>
    <xf numFmtId="0" fontId="32" fillId="0" borderId="0" xfId="0" applyFont="1" applyFill="1" applyAlignment="1">
      <alignment horizontal="center"/>
    </xf>
    <xf numFmtId="0" fontId="32" fillId="0" borderId="0" xfId="0" applyFont="1" applyFill="1"/>
    <xf numFmtId="0" fontId="30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0" fontId="11" fillId="0" borderId="26" xfId="0" applyFont="1" applyFill="1" applyBorder="1" applyAlignment="1">
      <alignment horizontal="center"/>
    </xf>
    <xf numFmtId="0" fontId="11" fillId="0" borderId="41" xfId="0" applyFont="1" applyFill="1" applyBorder="1"/>
    <xf numFmtId="0" fontId="11" fillId="0" borderId="42" xfId="0" applyFont="1" applyFill="1" applyBorder="1" applyAlignment="1">
      <alignment horizontal="center"/>
    </xf>
    <xf numFmtId="0" fontId="11" fillId="0" borderId="20" xfId="0" applyFont="1" applyFill="1" applyBorder="1" applyAlignment="1">
      <alignment horizontal="left" textRotation="90" wrapText="1"/>
    </xf>
    <xf numFmtId="0" fontId="11" fillId="0" borderId="35" xfId="0" applyFont="1" applyFill="1" applyBorder="1" applyAlignment="1">
      <alignment horizontal="left" textRotation="90" wrapText="1"/>
    </xf>
    <xf numFmtId="0" fontId="11" fillId="0" borderId="31" xfId="0" applyFont="1" applyFill="1" applyBorder="1" applyAlignment="1">
      <alignment horizontal="left" textRotation="90" wrapText="1"/>
    </xf>
    <xf numFmtId="0" fontId="11" fillId="0" borderId="34" xfId="0" applyFont="1" applyFill="1" applyBorder="1" applyAlignment="1">
      <alignment horizontal="left" textRotation="90" wrapText="1"/>
    </xf>
    <xf numFmtId="0" fontId="11" fillId="0" borderId="22" xfId="0" applyFont="1" applyFill="1" applyBorder="1" applyAlignment="1">
      <alignment horizontal="left" textRotation="90" wrapText="1"/>
    </xf>
    <xf numFmtId="0" fontId="11" fillId="0" borderId="21" xfId="0" applyFont="1" applyFill="1" applyBorder="1" applyAlignment="1">
      <alignment horizontal="left" textRotation="90" wrapText="1"/>
    </xf>
    <xf numFmtId="0" fontId="11" fillId="0" borderId="4" xfId="0" applyFont="1" applyFill="1" applyBorder="1"/>
    <xf numFmtId="0" fontId="11" fillId="0" borderId="37" xfId="0" applyFont="1" applyFill="1" applyBorder="1" applyAlignment="1">
      <alignment horizontal="center"/>
    </xf>
    <xf numFmtId="0" fontId="11" fillId="0" borderId="59" xfId="0" applyFont="1" applyFill="1" applyBorder="1" applyAlignment="1">
      <alignment horizontal="center"/>
    </xf>
    <xf numFmtId="0" fontId="11" fillId="0" borderId="17" xfId="0" applyFont="1" applyFill="1" applyBorder="1" applyAlignment="1">
      <alignment horizontal="center"/>
    </xf>
    <xf numFmtId="0" fontId="11" fillId="0" borderId="58" xfId="0" applyFont="1" applyFill="1" applyBorder="1" applyAlignment="1">
      <alignment horizontal="center"/>
    </xf>
    <xf numFmtId="0" fontId="11" fillId="0" borderId="63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1" fillId="0" borderId="16" xfId="0" applyFont="1" applyFill="1" applyBorder="1" applyAlignment="1">
      <alignment horizontal="center"/>
    </xf>
    <xf numFmtId="0" fontId="11" fillId="0" borderId="36" xfId="0" applyFont="1" applyFill="1" applyBorder="1" applyAlignment="1">
      <alignment horizontal="center"/>
    </xf>
    <xf numFmtId="0" fontId="11" fillId="0" borderId="60" xfId="0" applyFont="1" applyFill="1" applyBorder="1" applyAlignment="1">
      <alignment horizontal="center"/>
    </xf>
    <xf numFmtId="164" fontId="11" fillId="0" borderId="60" xfId="0" applyNumberFormat="1" applyFont="1" applyFill="1" applyBorder="1" applyAlignment="1">
      <alignment horizontal="center"/>
    </xf>
    <xf numFmtId="164" fontId="11" fillId="0" borderId="1" xfId="0" applyNumberFormat="1" applyFont="1" applyFill="1" applyBorder="1" applyAlignment="1">
      <alignment horizontal="center"/>
    </xf>
    <xf numFmtId="164" fontId="11" fillId="0" borderId="2" xfId="0" applyNumberFormat="1" applyFont="1" applyFill="1" applyBorder="1" applyAlignment="1">
      <alignment horizontal="center"/>
    </xf>
    <xf numFmtId="164" fontId="11" fillId="0" borderId="7" xfId="0" applyNumberFormat="1" applyFont="1" applyFill="1" applyBorder="1" applyAlignment="1">
      <alignment horizontal="center"/>
    </xf>
    <xf numFmtId="164" fontId="11" fillId="0" borderId="6" xfId="0" applyNumberFormat="1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9" xfId="0" applyFont="1" applyFill="1" applyBorder="1"/>
    <xf numFmtId="0" fontId="11" fillId="0" borderId="10" xfId="0" applyFont="1" applyFill="1" applyBorder="1" applyAlignment="1">
      <alignment horizontal="center"/>
    </xf>
    <xf numFmtId="0" fontId="11" fillId="0" borderId="28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19" xfId="0" applyFont="1" applyFill="1" applyBorder="1" applyAlignment="1">
      <alignment horizontal="center"/>
    </xf>
    <xf numFmtId="0" fontId="11" fillId="0" borderId="13" xfId="0" applyFont="1" applyFill="1" applyBorder="1" applyAlignment="1">
      <alignment horizontal="center"/>
    </xf>
    <xf numFmtId="0" fontId="12" fillId="0" borderId="16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right"/>
    </xf>
    <xf numFmtId="0" fontId="12" fillId="0" borderId="14" xfId="0" applyFont="1" applyFill="1" applyBorder="1" applyAlignment="1">
      <alignment horizontal="center"/>
    </xf>
    <xf numFmtId="1" fontId="12" fillId="0" borderId="3" xfId="0" applyNumberFormat="1" applyFont="1" applyFill="1" applyBorder="1" applyAlignment="1">
      <alignment horizontal="center"/>
    </xf>
    <xf numFmtId="1" fontId="12" fillId="0" borderId="59" xfId="0" applyNumberFormat="1" applyFont="1" applyFill="1" applyBorder="1" applyAlignment="1">
      <alignment horizontal="center"/>
    </xf>
    <xf numFmtId="1" fontId="12" fillId="0" borderId="4" xfId="0" applyNumberFormat="1" applyFont="1" applyFill="1" applyBorder="1" applyAlignment="1">
      <alignment horizontal="center"/>
    </xf>
    <xf numFmtId="1" fontId="12" fillId="0" borderId="18" xfId="0" applyNumberFormat="1" applyFont="1" applyFill="1" applyBorder="1" applyAlignment="1">
      <alignment horizontal="center"/>
    </xf>
    <xf numFmtId="1" fontId="12" fillId="0" borderId="5" xfId="0" applyNumberFormat="1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2" fillId="0" borderId="18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right"/>
    </xf>
    <xf numFmtId="0" fontId="12" fillId="0" borderId="9" xfId="0" applyFont="1" applyFill="1" applyBorder="1" applyAlignment="1">
      <alignment horizontal="center"/>
    </xf>
    <xf numFmtId="1" fontId="12" fillId="0" borderId="8" xfId="0" applyNumberFormat="1" applyFont="1" applyFill="1" applyBorder="1" applyAlignment="1">
      <alignment horizontal="center"/>
    </xf>
    <xf numFmtId="1" fontId="12" fillId="0" borderId="28" xfId="0" applyNumberFormat="1" applyFont="1" applyFill="1" applyBorder="1" applyAlignment="1">
      <alignment horizontal="center"/>
    </xf>
    <xf numFmtId="1" fontId="12" fillId="0" borderId="9" xfId="0" applyNumberFormat="1" applyFont="1" applyFill="1" applyBorder="1" applyAlignment="1">
      <alignment horizontal="center"/>
    </xf>
    <xf numFmtId="1" fontId="12" fillId="0" borderId="19" xfId="0" applyNumberFormat="1" applyFont="1" applyFill="1" applyBorder="1" applyAlignment="1">
      <alignment horizontal="center"/>
    </xf>
    <xf numFmtId="1" fontId="12" fillId="0" borderId="10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right"/>
    </xf>
    <xf numFmtId="0" fontId="12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20" fillId="0" borderId="0" xfId="0" applyFont="1" applyFill="1"/>
    <xf numFmtId="0" fontId="19" fillId="0" borderId="0" xfId="0" applyFont="1" applyFill="1" applyAlignment="1">
      <alignment horizontal="center"/>
    </xf>
    <xf numFmtId="0" fontId="19" fillId="0" borderId="0" xfId="0" applyFont="1" applyFill="1"/>
    <xf numFmtId="0" fontId="20" fillId="0" borderId="0" xfId="0" applyFont="1" applyFill="1" applyAlignment="1">
      <alignment horizontal="center"/>
    </xf>
    <xf numFmtId="0" fontId="1" fillId="0" borderId="21" xfId="0" applyFont="1" applyBorder="1" applyAlignment="1">
      <alignment horizontal="left" textRotation="90" wrapText="1"/>
    </xf>
    <xf numFmtId="0" fontId="24" fillId="0" borderId="0" xfId="0" applyFont="1" applyFill="1" applyBorder="1" applyAlignment="1"/>
    <xf numFmtId="0" fontId="36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textRotation="90" wrapText="1"/>
    </xf>
    <xf numFmtId="0" fontId="22" fillId="0" borderId="0" xfId="0" applyFont="1" applyFill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4" fillId="0" borderId="0" xfId="0" applyFont="1" applyFill="1" applyBorder="1" applyAlignment="1">
      <alignment horizontal="center"/>
    </xf>
    <xf numFmtId="0" fontId="35" fillId="0" borderId="8" xfId="0" applyFont="1" applyBorder="1" applyAlignment="1">
      <alignment horizontal="center"/>
    </xf>
    <xf numFmtId="0" fontId="35" fillId="0" borderId="9" xfId="0" applyFont="1" applyBorder="1" applyAlignment="1">
      <alignment horizontal="center"/>
    </xf>
    <xf numFmtId="0" fontId="36" fillId="0" borderId="8" xfId="0" applyFont="1" applyBorder="1" applyAlignment="1">
      <alignment horizontal="center"/>
    </xf>
    <xf numFmtId="0" fontId="36" fillId="0" borderId="9" xfId="0" applyFont="1" applyBorder="1" applyAlignment="1">
      <alignment horizontal="center"/>
    </xf>
    <xf numFmtId="0" fontId="36" fillId="0" borderId="19" xfId="0" applyFont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2" fillId="2" borderId="3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  <xf numFmtId="0" fontId="35" fillId="2" borderId="10" xfId="0" applyFont="1" applyFill="1" applyBorder="1" applyAlignment="1">
      <alignment horizontal="center"/>
    </xf>
    <xf numFmtId="0" fontId="22" fillId="2" borderId="16" xfId="0" applyFont="1" applyFill="1" applyBorder="1" applyAlignment="1">
      <alignment horizontal="center"/>
    </xf>
    <xf numFmtId="0" fontId="22" fillId="2" borderId="17" xfId="0" applyFont="1" applyFill="1" applyBorder="1" applyAlignment="1">
      <alignment horizontal="center"/>
    </xf>
    <xf numFmtId="0" fontId="22" fillId="2" borderId="6" xfId="0" applyFont="1" applyFill="1" applyBorder="1" applyAlignment="1">
      <alignment horizontal="center"/>
    </xf>
    <xf numFmtId="0" fontId="22" fillId="2" borderId="7" xfId="0" applyFont="1" applyFill="1" applyBorder="1" applyAlignment="1">
      <alignment horizontal="center"/>
    </xf>
    <xf numFmtId="0" fontId="22" fillId="2" borderId="11" xfId="0" applyFont="1" applyFill="1" applyBorder="1" applyAlignment="1">
      <alignment horizontal="center"/>
    </xf>
    <xf numFmtId="0" fontId="22" fillId="2" borderId="13" xfId="0" applyFont="1" applyFill="1" applyBorder="1" applyAlignment="1">
      <alignment horizontal="center"/>
    </xf>
    <xf numFmtId="0" fontId="36" fillId="2" borderId="8" xfId="0" applyFont="1" applyFill="1" applyBorder="1" applyAlignment="1">
      <alignment horizontal="center"/>
    </xf>
    <xf numFmtId="0" fontId="36" fillId="2" borderId="10" xfId="0" applyFont="1" applyFill="1" applyBorder="1" applyAlignment="1">
      <alignment horizontal="center"/>
    </xf>
    <xf numFmtId="0" fontId="1" fillId="2" borderId="26" xfId="0" applyFont="1" applyFill="1" applyBorder="1" applyAlignment="1">
      <alignment textRotation="90" wrapText="1"/>
    </xf>
    <xf numFmtId="0" fontId="1" fillId="2" borderId="43" xfId="0" applyFont="1" applyFill="1" applyBorder="1" applyAlignment="1">
      <alignment textRotation="90" wrapText="1"/>
    </xf>
    <xf numFmtId="0" fontId="22" fillId="2" borderId="3" xfId="0" applyFont="1" applyFill="1" applyBorder="1" applyAlignment="1">
      <alignment horizontal="center"/>
    </xf>
    <xf numFmtId="0" fontId="22" fillId="2" borderId="5" xfId="0" applyFont="1" applyFill="1" applyBorder="1" applyAlignment="1">
      <alignment horizontal="center"/>
    </xf>
    <xf numFmtId="0" fontId="11" fillId="2" borderId="3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center"/>
    </xf>
    <xf numFmtId="0" fontId="1" fillId="3" borderId="21" xfId="0" applyFont="1" applyFill="1" applyBorder="1" applyAlignment="1">
      <alignment horizontal="left" textRotation="90" wrapText="1"/>
    </xf>
    <xf numFmtId="0" fontId="22" fillId="3" borderId="4" xfId="0" applyFont="1" applyFill="1" applyBorder="1" applyAlignment="1">
      <alignment horizontal="center"/>
    </xf>
    <xf numFmtId="0" fontId="22" fillId="3" borderId="14" xfId="0" applyFont="1" applyFill="1" applyBorder="1" applyAlignment="1">
      <alignment horizontal="center"/>
    </xf>
    <xf numFmtId="0" fontId="22" fillId="3" borderId="1" xfId="0" applyFont="1" applyFill="1" applyBorder="1" applyAlignment="1">
      <alignment horizontal="center"/>
    </xf>
    <xf numFmtId="0" fontId="22" fillId="3" borderId="12" xfId="0" applyFont="1" applyFill="1" applyBorder="1" applyAlignment="1">
      <alignment horizontal="center"/>
    </xf>
    <xf numFmtId="0" fontId="24" fillId="3" borderId="4" xfId="0" applyFont="1" applyFill="1" applyBorder="1" applyAlignment="1">
      <alignment horizontal="center"/>
    </xf>
    <xf numFmtId="0" fontId="36" fillId="3" borderId="9" xfId="0" applyFont="1" applyFill="1" applyBorder="1" applyAlignment="1">
      <alignment horizontal="center"/>
    </xf>
    <xf numFmtId="0" fontId="1" fillId="4" borderId="21" xfId="0" applyFont="1" applyFill="1" applyBorder="1" applyAlignment="1">
      <alignment horizontal="left" textRotation="90" wrapText="1"/>
    </xf>
    <xf numFmtId="0" fontId="11" fillId="4" borderId="4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12" fillId="4" borderId="1" xfId="0" applyFont="1" applyFill="1" applyBorder="1" applyAlignment="1">
      <alignment horizontal="center"/>
    </xf>
    <xf numFmtId="0" fontId="11" fillId="4" borderId="12" xfId="0" applyFont="1" applyFill="1" applyBorder="1" applyAlignment="1">
      <alignment horizontal="center"/>
    </xf>
    <xf numFmtId="0" fontId="12" fillId="4" borderId="4" xfId="0" applyFont="1" applyFill="1" applyBorder="1" applyAlignment="1">
      <alignment horizontal="center"/>
    </xf>
    <xf numFmtId="0" fontId="35" fillId="4" borderId="9" xfId="0" applyFont="1" applyFill="1" applyBorder="1" applyAlignment="1">
      <alignment horizontal="center"/>
    </xf>
    <xf numFmtId="164" fontId="24" fillId="0" borderId="59" xfId="0" applyNumberFormat="1" applyFont="1" applyBorder="1" applyAlignment="1">
      <alignment horizontal="center"/>
    </xf>
    <xf numFmtId="164" fontId="24" fillId="0" borderId="71" xfId="0" applyNumberFormat="1" applyFont="1" applyBorder="1" applyAlignment="1">
      <alignment horizontal="center"/>
    </xf>
    <xf numFmtId="0" fontId="1" fillId="0" borderId="21" xfId="0" applyFont="1" applyFill="1" applyBorder="1" applyAlignment="1">
      <alignment horizontal="left" textRotation="90" wrapText="1"/>
    </xf>
    <xf numFmtId="0" fontId="22" fillId="0" borderId="32" xfId="0" applyFont="1" applyBorder="1" applyAlignment="1">
      <alignment horizontal="center" textRotation="90"/>
    </xf>
    <xf numFmtId="0" fontId="11" fillId="0" borderId="32" xfId="0" applyFont="1" applyBorder="1" applyAlignment="1">
      <alignment horizontal="center" textRotation="90"/>
    </xf>
    <xf numFmtId="0" fontId="11" fillId="5" borderId="21" xfId="0" applyFont="1" applyFill="1" applyBorder="1" applyAlignment="1">
      <alignment horizontal="left" textRotation="90" wrapText="1"/>
    </xf>
    <xf numFmtId="0" fontId="11" fillId="5" borderId="34" xfId="0" applyFont="1" applyFill="1" applyBorder="1" applyAlignment="1">
      <alignment horizontal="left" textRotation="90" wrapText="1"/>
    </xf>
    <xf numFmtId="1" fontId="12" fillId="5" borderId="9" xfId="0" applyNumberFormat="1" applyFont="1" applyFill="1" applyBorder="1" applyAlignment="1">
      <alignment horizontal="center"/>
    </xf>
    <xf numFmtId="1" fontId="12" fillId="5" borderId="10" xfId="0" applyNumberFormat="1" applyFont="1" applyFill="1" applyBorder="1" applyAlignment="1">
      <alignment horizontal="center"/>
    </xf>
    <xf numFmtId="0" fontId="12" fillId="5" borderId="4" xfId="0" applyFont="1" applyFill="1" applyBorder="1" applyAlignment="1">
      <alignment horizontal="center"/>
    </xf>
    <xf numFmtId="0" fontId="22" fillId="5" borderId="6" xfId="0" applyFont="1" applyFill="1" applyBorder="1" applyAlignment="1">
      <alignment horizontal="center"/>
    </xf>
    <xf numFmtId="1" fontId="24" fillId="5" borderId="8" xfId="0" applyNumberFormat="1" applyFont="1" applyFill="1" applyBorder="1" applyAlignment="1">
      <alignment horizontal="center"/>
    </xf>
    <xf numFmtId="1" fontId="24" fillId="5" borderId="3" xfId="0" applyNumberFormat="1" applyFont="1" applyFill="1" applyBorder="1" applyAlignment="1">
      <alignment horizontal="center"/>
    </xf>
    <xf numFmtId="1" fontId="22" fillId="5" borderId="1" xfId="0" applyNumberFormat="1" applyFont="1" applyFill="1" applyBorder="1" applyAlignment="1">
      <alignment horizontal="center"/>
    </xf>
    <xf numFmtId="0" fontId="22" fillId="5" borderId="1" xfId="0" applyFont="1" applyFill="1" applyBorder="1" applyAlignment="1">
      <alignment horizontal="center"/>
    </xf>
    <xf numFmtId="1" fontId="24" fillId="5" borderId="4" xfId="0" applyNumberFormat="1" applyFont="1" applyFill="1" applyBorder="1" applyAlignment="1">
      <alignment horizontal="center"/>
    </xf>
    <xf numFmtId="1" fontId="24" fillId="5" borderId="9" xfId="0" applyNumberFormat="1" applyFont="1" applyFill="1" applyBorder="1" applyAlignment="1">
      <alignment horizontal="center"/>
    </xf>
    <xf numFmtId="1" fontId="12" fillId="5" borderId="8" xfId="0" applyNumberFormat="1" applyFont="1" applyFill="1" applyBorder="1" applyAlignment="1">
      <alignment horizontal="center"/>
    </xf>
    <xf numFmtId="0" fontId="11" fillId="5" borderId="14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12" fillId="0" borderId="30" xfId="0" applyFont="1" applyBorder="1" applyAlignment="1">
      <alignment horizontal="center"/>
    </xf>
    <xf numFmtId="0" fontId="12" fillId="0" borderId="31" xfId="0" applyFont="1" applyBorder="1" applyAlignment="1">
      <alignment horizontal="center"/>
    </xf>
    <xf numFmtId="0" fontId="12" fillId="0" borderId="32" xfId="0" applyFont="1" applyBorder="1" applyAlignment="1">
      <alignment horizontal="center"/>
    </xf>
    <xf numFmtId="0" fontId="24" fillId="0" borderId="30" xfId="0" applyFont="1" applyBorder="1" applyAlignment="1">
      <alignment horizontal="center"/>
    </xf>
    <xf numFmtId="0" fontId="24" fillId="0" borderId="32" xfId="0" applyFont="1" applyBorder="1" applyAlignment="1">
      <alignment horizontal="center"/>
    </xf>
    <xf numFmtId="0" fontId="24" fillId="0" borderId="30" xfId="0" applyFont="1" applyFill="1" applyBorder="1" applyAlignment="1">
      <alignment horizontal="center"/>
    </xf>
    <xf numFmtId="0" fontId="24" fillId="0" borderId="31" xfId="0" applyFont="1" applyFill="1" applyBorder="1" applyAlignment="1">
      <alignment horizontal="center"/>
    </xf>
    <xf numFmtId="0" fontId="24" fillId="0" borderId="32" xfId="0" applyFont="1" applyFill="1" applyBorder="1" applyAlignment="1">
      <alignment horizontal="center"/>
    </xf>
    <xf numFmtId="0" fontId="12" fillId="0" borderId="30" xfId="0" applyFont="1" applyFill="1" applyBorder="1" applyAlignment="1">
      <alignment horizontal="center"/>
    </xf>
    <xf numFmtId="0" fontId="12" fillId="0" borderId="31" xfId="0" applyFont="1" applyFill="1" applyBorder="1" applyAlignment="1">
      <alignment horizontal="center"/>
    </xf>
    <xf numFmtId="0" fontId="12" fillId="0" borderId="32" xfId="0" applyFont="1" applyFill="1" applyBorder="1" applyAlignment="1">
      <alignment horizontal="center"/>
    </xf>
    <xf numFmtId="0" fontId="12" fillId="0" borderId="26" xfId="0" applyFont="1" applyBorder="1" applyAlignment="1">
      <alignment horizontal="center"/>
    </xf>
    <xf numFmtId="0" fontId="12" fillId="0" borderId="42" xfId="0" applyFont="1" applyBorder="1" applyAlignment="1">
      <alignment horizontal="center"/>
    </xf>
    <xf numFmtId="0" fontId="38" fillId="0" borderId="0" xfId="0" applyFont="1" applyAlignment="1">
      <alignment horizontal="center" textRotation="90" wrapText="1"/>
    </xf>
    <xf numFmtId="0" fontId="12" fillId="0" borderId="25" xfId="0" applyFont="1" applyBorder="1" applyAlignment="1">
      <alignment horizontal="center"/>
    </xf>
    <xf numFmtId="0" fontId="12" fillId="0" borderId="30" xfId="0" applyFont="1" applyBorder="1" applyAlignment="1">
      <alignment horizontal="center" wrapText="1"/>
    </xf>
    <xf numFmtId="0" fontId="12" fillId="0" borderId="31" xfId="0" applyFont="1" applyBorder="1" applyAlignment="1">
      <alignment horizontal="center" wrapText="1"/>
    </xf>
    <xf numFmtId="0" fontId="12" fillId="0" borderId="32" xfId="0" applyFont="1" applyBorder="1" applyAlignment="1">
      <alignment horizontal="center" wrapText="1"/>
    </xf>
    <xf numFmtId="0" fontId="22" fillId="0" borderId="0" xfId="0" applyFont="1" applyFill="1" applyBorder="1" applyAlignment="1">
      <alignment horizontal="left"/>
    </xf>
    <xf numFmtId="0" fontId="40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24" fillId="0" borderId="31" xfId="0" applyFont="1" applyBorder="1" applyAlignment="1">
      <alignment horizontal="center"/>
    </xf>
    <xf numFmtId="0" fontId="24" fillId="2" borderId="30" xfId="0" applyFont="1" applyFill="1" applyBorder="1" applyAlignment="1">
      <alignment horizontal="center" wrapText="1"/>
    </xf>
    <xf numFmtId="0" fontId="24" fillId="2" borderId="32" xfId="0" applyFont="1" applyFill="1" applyBorder="1" applyAlignment="1">
      <alignment horizontal="center" wrapText="1"/>
    </xf>
    <xf numFmtId="0" fontId="11" fillId="0" borderId="0" xfId="0" applyFont="1" applyAlignment="1">
      <alignment horizontal="left"/>
    </xf>
  </cellXfs>
  <cellStyles count="1">
    <cellStyle name="Parasts" xfId="0" builtinId="0"/>
  </cellStyles>
  <dxfs count="0"/>
  <tableStyles count="0" defaultTableStyle="TableStyleMedium9" defaultPivotStyle="PivotStyleLight16"/>
  <colors>
    <mruColors>
      <color rgb="FFFDFD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84"/>
  <sheetViews>
    <sheetView topLeftCell="B1" zoomScale="55" zoomScaleNormal="55" workbookViewId="0">
      <pane xSplit="3" topLeftCell="E1" activePane="topRight" state="frozen"/>
      <selection activeCell="B1" sqref="B1"/>
      <selection pane="topRight" activeCell="AR42" sqref="AR42"/>
    </sheetView>
  </sheetViews>
  <sheetFormatPr defaultRowHeight="15.75" x14ac:dyDescent="0.25"/>
  <cols>
    <col min="1" max="1" width="2" style="1" customWidth="1"/>
    <col min="2" max="2" width="6.140625" style="2" customWidth="1"/>
    <col min="3" max="3" width="28.5703125" style="1" customWidth="1"/>
    <col min="4" max="4" width="11.140625" style="2" customWidth="1"/>
    <col min="5" max="5" width="7.85546875" style="1" bestFit="1" customWidth="1"/>
    <col min="6" max="7" width="7.5703125" style="1" bestFit="1" customWidth="1"/>
    <col min="8" max="9" width="10.140625" style="1" customWidth="1"/>
    <col min="10" max="10" width="7" style="1" bestFit="1" customWidth="1"/>
    <col min="11" max="11" width="7.7109375" style="1" customWidth="1"/>
    <col min="12" max="12" width="10" style="1" bestFit="1" customWidth="1"/>
    <col min="13" max="13" width="7" style="1" bestFit="1" customWidth="1"/>
    <col min="14" max="16384" width="9.140625" style="1"/>
  </cols>
  <sheetData>
    <row r="1" spans="2:13" ht="5.25" customHeight="1" thickBot="1" x14ac:dyDescent="0.3"/>
    <row r="2" spans="2:13" ht="19.5" thickBot="1" x14ac:dyDescent="0.3">
      <c r="E2" s="613" t="s">
        <v>2</v>
      </c>
      <c r="F2" s="614"/>
      <c r="G2" s="614"/>
      <c r="H2" s="614"/>
      <c r="I2" s="614"/>
      <c r="J2" s="615"/>
      <c r="K2" s="613" t="s">
        <v>123</v>
      </c>
      <c r="L2" s="614"/>
      <c r="M2" s="615"/>
    </row>
    <row r="3" spans="2:13" ht="196.5" customHeight="1" thickBot="1" x14ac:dyDescent="0.3">
      <c r="B3" s="21" t="s">
        <v>5</v>
      </c>
      <c r="C3" s="71" t="s">
        <v>3</v>
      </c>
      <c r="D3" s="22" t="s">
        <v>4</v>
      </c>
      <c r="E3" s="65" t="s">
        <v>134</v>
      </c>
      <c r="F3" s="58" t="s">
        <v>135</v>
      </c>
      <c r="G3" s="59" t="s">
        <v>136</v>
      </c>
      <c r="H3" s="55" t="s">
        <v>120</v>
      </c>
      <c r="I3" s="55" t="s">
        <v>121</v>
      </c>
      <c r="J3" s="60" t="s">
        <v>97</v>
      </c>
      <c r="K3" s="77" t="s">
        <v>117</v>
      </c>
      <c r="L3" s="77" t="s">
        <v>126</v>
      </c>
      <c r="M3" s="32" t="s">
        <v>122</v>
      </c>
    </row>
    <row r="4" spans="2:13" x14ac:dyDescent="0.25">
      <c r="B4" s="31">
        <v>101</v>
      </c>
      <c r="C4" s="69" t="s">
        <v>8</v>
      </c>
      <c r="D4" s="70">
        <v>17.899999999999999</v>
      </c>
      <c r="E4" s="49"/>
      <c r="F4" s="14"/>
      <c r="G4" s="14"/>
      <c r="H4" s="14"/>
      <c r="I4" s="24"/>
      <c r="J4" s="33">
        <v>18</v>
      </c>
      <c r="K4" s="50">
        <v>5.8</v>
      </c>
      <c r="L4" s="24"/>
      <c r="M4" s="33"/>
    </row>
    <row r="5" spans="2:13" x14ac:dyDescent="0.25">
      <c r="B5" s="25">
        <v>102</v>
      </c>
      <c r="C5" s="40" t="s">
        <v>9</v>
      </c>
      <c r="D5" s="8">
        <v>57.6</v>
      </c>
      <c r="E5" s="37">
        <v>9</v>
      </c>
      <c r="F5" s="5">
        <v>73</v>
      </c>
      <c r="G5" s="5"/>
      <c r="H5" s="5"/>
      <c r="I5" s="25"/>
      <c r="J5" s="8"/>
      <c r="K5" s="51">
        <v>19.5</v>
      </c>
      <c r="L5" s="25"/>
      <c r="M5" s="8">
        <f>1.2*6</f>
        <v>7.1999999999999993</v>
      </c>
    </row>
    <row r="6" spans="2:13" x14ac:dyDescent="0.25">
      <c r="B6" s="25">
        <v>103</v>
      </c>
      <c r="C6" s="40" t="s">
        <v>10</v>
      </c>
      <c r="D6" s="8">
        <v>141.69999999999999</v>
      </c>
      <c r="E6" s="37">
        <v>127</v>
      </c>
      <c r="F6" s="5">
        <v>2</v>
      </c>
      <c r="G6" s="5"/>
      <c r="H6" s="5"/>
      <c r="I6" s="25"/>
      <c r="J6" s="8"/>
      <c r="K6" s="51">
        <v>13.1</v>
      </c>
      <c r="L6" s="25"/>
      <c r="M6" s="8"/>
    </row>
    <row r="7" spans="2:13" x14ac:dyDescent="0.25">
      <c r="B7" s="25">
        <v>104</v>
      </c>
      <c r="C7" s="40" t="s">
        <v>11</v>
      </c>
      <c r="D7" s="8">
        <v>33.4</v>
      </c>
      <c r="E7" s="37">
        <v>29</v>
      </c>
      <c r="F7" s="5"/>
      <c r="G7" s="5"/>
      <c r="H7" s="5"/>
      <c r="I7" s="25"/>
      <c r="J7" s="8"/>
      <c r="K7" s="51">
        <v>5.4</v>
      </c>
      <c r="L7" s="25"/>
      <c r="M7" s="8"/>
    </row>
    <row r="8" spans="2:13" x14ac:dyDescent="0.25">
      <c r="B8" s="25">
        <v>105</v>
      </c>
      <c r="C8" s="40" t="s">
        <v>12</v>
      </c>
      <c r="D8" s="8">
        <v>9.4</v>
      </c>
      <c r="E8" s="37">
        <v>10</v>
      </c>
      <c r="F8" s="5"/>
      <c r="G8" s="5"/>
      <c r="H8" s="5"/>
      <c r="I8" s="25"/>
      <c r="J8" s="8"/>
      <c r="K8" s="51">
        <v>14.7</v>
      </c>
      <c r="L8" s="25"/>
      <c r="M8" s="8"/>
    </row>
    <row r="9" spans="2:13" x14ac:dyDescent="0.25">
      <c r="B9" s="25">
        <v>106</v>
      </c>
      <c r="C9" s="40" t="s">
        <v>13</v>
      </c>
      <c r="D9" s="8">
        <v>3.6</v>
      </c>
      <c r="E9" s="37">
        <v>3.7</v>
      </c>
      <c r="F9" s="5"/>
      <c r="G9" s="5"/>
      <c r="H9" s="28"/>
      <c r="I9" s="34"/>
      <c r="J9" s="8"/>
      <c r="K9" s="79">
        <v>6.4</v>
      </c>
      <c r="L9" s="34"/>
      <c r="M9" s="41"/>
    </row>
    <row r="10" spans="2:13" x14ac:dyDescent="0.25">
      <c r="B10" s="25">
        <v>107</v>
      </c>
      <c r="C10" s="40" t="s">
        <v>14</v>
      </c>
      <c r="D10" s="8">
        <v>13.1</v>
      </c>
      <c r="E10" s="37">
        <v>13.2</v>
      </c>
      <c r="F10" s="5"/>
      <c r="G10" s="5"/>
      <c r="H10" s="5"/>
      <c r="I10" s="25"/>
      <c r="J10" s="8"/>
      <c r="K10" s="51">
        <v>13.2</v>
      </c>
      <c r="L10" s="25"/>
      <c r="M10" s="8"/>
    </row>
    <row r="11" spans="2:13" x14ac:dyDescent="0.25">
      <c r="B11" s="25">
        <v>108</v>
      </c>
      <c r="C11" s="40" t="s">
        <v>15</v>
      </c>
      <c r="D11" s="8">
        <v>19.100000000000001</v>
      </c>
      <c r="E11" s="37">
        <v>19.3</v>
      </c>
      <c r="F11" s="5">
        <v>0.2</v>
      </c>
      <c r="G11" s="5"/>
      <c r="H11" s="5"/>
      <c r="I11" s="25"/>
      <c r="J11" s="8"/>
      <c r="K11" s="51">
        <v>16.399999999999999</v>
      </c>
      <c r="L11" s="25"/>
      <c r="M11" s="8"/>
    </row>
    <row r="12" spans="2:13" x14ac:dyDescent="0.25">
      <c r="B12" s="25">
        <v>109</v>
      </c>
      <c r="C12" s="40" t="s">
        <v>16</v>
      </c>
      <c r="D12" s="8">
        <v>43.7</v>
      </c>
      <c r="E12" s="37">
        <v>45.4</v>
      </c>
      <c r="F12" s="5">
        <v>7.2</v>
      </c>
      <c r="G12" s="5"/>
      <c r="H12" s="5"/>
      <c r="I12" s="25"/>
      <c r="J12" s="8"/>
      <c r="K12" s="51">
        <v>36</v>
      </c>
      <c r="L12" s="25"/>
      <c r="M12" s="8"/>
    </row>
    <row r="13" spans="2:13" x14ac:dyDescent="0.25">
      <c r="B13" s="25">
        <v>110</v>
      </c>
      <c r="C13" s="40" t="s">
        <v>17</v>
      </c>
      <c r="D13" s="8">
        <v>4.8</v>
      </c>
      <c r="E13" s="37"/>
      <c r="F13" s="5"/>
      <c r="G13" s="5"/>
      <c r="H13" s="5"/>
      <c r="I13" s="25"/>
      <c r="J13" s="8">
        <v>5.4</v>
      </c>
      <c r="K13" s="51"/>
      <c r="L13" s="25"/>
      <c r="M13" s="8"/>
    </row>
    <row r="14" spans="2:13" x14ac:dyDescent="0.25">
      <c r="B14" s="25">
        <v>111</v>
      </c>
      <c r="C14" s="40" t="s">
        <v>18</v>
      </c>
      <c r="D14" s="8">
        <v>5.8</v>
      </c>
      <c r="E14" s="37"/>
      <c r="F14" s="5"/>
      <c r="G14" s="5"/>
      <c r="H14" s="5"/>
      <c r="I14" s="25">
        <v>7.2</v>
      </c>
      <c r="J14" s="8"/>
      <c r="K14" s="51"/>
      <c r="L14" s="25">
        <v>3.06</v>
      </c>
      <c r="M14" s="8"/>
    </row>
    <row r="15" spans="2:13" x14ac:dyDescent="0.25">
      <c r="B15" s="25">
        <v>112</v>
      </c>
      <c r="C15" s="40" t="s">
        <v>19</v>
      </c>
      <c r="D15" s="8">
        <v>19.5</v>
      </c>
      <c r="E15" s="37">
        <v>19.7</v>
      </c>
      <c r="F15" s="5">
        <v>0.5</v>
      </c>
      <c r="G15" s="5"/>
      <c r="H15" s="5"/>
      <c r="I15" s="25"/>
      <c r="J15" s="8"/>
      <c r="K15" s="51">
        <v>20.7</v>
      </c>
      <c r="L15" s="25"/>
      <c r="M15" s="8"/>
    </row>
    <row r="16" spans="2:13" x14ac:dyDescent="0.25">
      <c r="B16" s="25">
        <v>113</v>
      </c>
      <c r="C16" s="40" t="s">
        <v>20</v>
      </c>
      <c r="D16" s="8">
        <v>6.3</v>
      </c>
      <c r="E16" s="37">
        <v>6.8</v>
      </c>
      <c r="F16" s="5"/>
      <c r="G16" s="5"/>
      <c r="H16" s="5"/>
      <c r="I16" s="25"/>
      <c r="J16" s="8"/>
      <c r="K16" s="51">
        <v>8.1</v>
      </c>
      <c r="L16" s="25"/>
      <c r="M16" s="8"/>
    </row>
    <row r="17" spans="2:13" x14ac:dyDescent="0.25">
      <c r="B17" s="25">
        <v>114</v>
      </c>
      <c r="C17" s="40" t="s">
        <v>21</v>
      </c>
      <c r="D17" s="8">
        <v>3.6</v>
      </c>
      <c r="E17" s="37"/>
      <c r="F17" s="5"/>
      <c r="G17" s="5"/>
      <c r="H17" s="5">
        <v>5.4</v>
      </c>
      <c r="I17" s="25"/>
      <c r="J17" s="8"/>
      <c r="K17" s="51"/>
      <c r="L17" s="25"/>
      <c r="M17" s="8"/>
    </row>
    <row r="18" spans="2:13" x14ac:dyDescent="0.25">
      <c r="B18" s="25">
        <v>115</v>
      </c>
      <c r="C18" s="40" t="s">
        <v>22</v>
      </c>
      <c r="D18" s="8">
        <v>12.7</v>
      </c>
      <c r="E18" s="37">
        <v>13</v>
      </c>
      <c r="F18" s="5"/>
      <c r="G18" s="5"/>
      <c r="H18" s="28"/>
      <c r="I18" s="34"/>
      <c r="J18" s="8"/>
      <c r="K18" s="79">
        <v>13</v>
      </c>
      <c r="L18" s="34"/>
      <c r="M18" s="41"/>
    </row>
    <row r="19" spans="2:13" x14ac:dyDescent="0.25">
      <c r="B19" s="25">
        <v>116</v>
      </c>
      <c r="C19" s="40" t="s">
        <v>23</v>
      </c>
      <c r="D19" s="8">
        <v>2.7</v>
      </c>
      <c r="E19" s="37"/>
      <c r="F19" s="5"/>
      <c r="G19" s="5"/>
      <c r="H19" s="28">
        <v>3.6</v>
      </c>
      <c r="I19" s="34"/>
      <c r="J19" s="8"/>
      <c r="K19" s="79"/>
      <c r="L19" s="34"/>
      <c r="M19" s="41"/>
    </row>
    <row r="20" spans="2:13" x14ac:dyDescent="0.25">
      <c r="B20" s="25">
        <v>117</v>
      </c>
      <c r="C20" s="40" t="s">
        <v>17</v>
      </c>
      <c r="D20" s="8">
        <v>2.5</v>
      </c>
      <c r="E20" s="37"/>
      <c r="F20" s="5"/>
      <c r="G20" s="5"/>
      <c r="H20" s="28">
        <v>3.5</v>
      </c>
      <c r="I20" s="34"/>
      <c r="J20" s="41"/>
      <c r="K20" s="79"/>
      <c r="L20" s="34"/>
      <c r="M20" s="41"/>
    </row>
    <row r="21" spans="2:13" x14ac:dyDescent="0.25">
      <c r="B21" s="25">
        <v>118</v>
      </c>
      <c r="C21" s="40" t="s">
        <v>24</v>
      </c>
      <c r="D21" s="8">
        <v>8.1</v>
      </c>
      <c r="E21" s="37"/>
      <c r="F21" s="5"/>
      <c r="G21" s="5"/>
      <c r="H21" s="28"/>
      <c r="I21" s="34">
        <v>10.8</v>
      </c>
      <c r="J21" s="41"/>
      <c r="K21" s="79">
        <v>10.3</v>
      </c>
      <c r="L21" s="34">
        <v>1.71</v>
      </c>
      <c r="M21" s="41"/>
    </row>
    <row r="22" spans="2:13" x14ac:dyDescent="0.25">
      <c r="B22" s="25">
        <v>119</v>
      </c>
      <c r="C22" s="40" t="s">
        <v>11</v>
      </c>
      <c r="D22" s="8">
        <v>24.5</v>
      </c>
      <c r="E22" s="38">
        <v>25.4</v>
      </c>
      <c r="F22" s="28">
        <v>3.5</v>
      </c>
      <c r="G22" s="28"/>
      <c r="H22" s="28"/>
      <c r="I22" s="34"/>
      <c r="J22" s="41"/>
      <c r="K22" s="79">
        <v>20.100000000000001</v>
      </c>
      <c r="L22" s="34"/>
      <c r="M22" s="41"/>
    </row>
    <row r="23" spans="2:13" x14ac:dyDescent="0.25">
      <c r="B23" s="25">
        <v>120</v>
      </c>
      <c r="C23" s="40" t="s">
        <v>25</v>
      </c>
      <c r="D23" s="8">
        <v>14.9</v>
      </c>
      <c r="E23" s="38"/>
      <c r="F23" s="28"/>
      <c r="G23" s="28">
        <v>15</v>
      </c>
      <c r="H23" s="28"/>
      <c r="I23" s="34"/>
      <c r="J23" s="41"/>
      <c r="K23" s="79"/>
      <c r="L23" s="34"/>
      <c r="M23" s="41"/>
    </row>
    <row r="24" spans="2:13" x14ac:dyDescent="0.25">
      <c r="B24" s="25">
        <v>121</v>
      </c>
      <c r="C24" s="40" t="s">
        <v>8</v>
      </c>
      <c r="D24" s="8">
        <v>10.7</v>
      </c>
      <c r="E24" s="37"/>
      <c r="F24" s="5"/>
      <c r="G24" s="5"/>
      <c r="H24" s="28">
        <v>9.6999999999999993</v>
      </c>
      <c r="I24" s="34"/>
      <c r="J24" s="41">
        <v>6.3</v>
      </c>
      <c r="K24" s="79">
        <v>13.9</v>
      </c>
      <c r="L24" s="34"/>
      <c r="M24" s="41"/>
    </row>
    <row r="25" spans="2:13" x14ac:dyDescent="0.25">
      <c r="B25" s="25">
        <v>122</v>
      </c>
      <c r="C25" s="40" t="s">
        <v>26</v>
      </c>
      <c r="D25" s="8">
        <v>48.5</v>
      </c>
      <c r="E25" s="38">
        <v>48.9</v>
      </c>
      <c r="F25" s="5"/>
      <c r="G25" s="5"/>
      <c r="H25" s="28"/>
      <c r="I25" s="34"/>
      <c r="J25" s="8"/>
      <c r="K25" s="79">
        <v>27</v>
      </c>
      <c r="L25" s="34"/>
      <c r="M25" s="41"/>
    </row>
    <row r="26" spans="2:13" x14ac:dyDescent="0.25">
      <c r="B26" s="25">
        <v>123</v>
      </c>
      <c r="C26" s="40" t="s">
        <v>27</v>
      </c>
      <c r="D26" s="8">
        <v>73.8</v>
      </c>
      <c r="E26" s="37">
        <v>74.3</v>
      </c>
      <c r="F26" s="5">
        <v>3.5</v>
      </c>
      <c r="G26" s="5"/>
      <c r="H26" s="28"/>
      <c r="I26" s="34"/>
      <c r="J26" s="8"/>
      <c r="K26" s="79">
        <v>35.200000000000003</v>
      </c>
      <c r="L26" s="34"/>
      <c r="M26" s="41"/>
    </row>
    <row r="27" spans="2:13" x14ac:dyDescent="0.25">
      <c r="B27" s="25">
        <v>124</v>
      </c>
      <c r="C27" s="40" t="s">
        <v>28</v>
      </c>
      <c r="D27" s="8">
        <v>22.8</v>
      </c>
      <c r="E27" s="37">
        <v>23.3</v>
      </c>
      <c r="F27" s="5">
        <v>1.4</v>
      </c>
      <c r="G27" s="5"/>
      <c r="H27" s="28"/>
      <c r="I27" s="34"/>
      <c r="J27" s="8"/>
      <c r="K27" s="79">
        <v>15.8</v>
      </c>
      <c r="L27" s="34"/>
      <c r="M27" s="41"/>
    </row>
    <row r="28" spans="2:13" x14ac:dyDescent="0.25">
      <c r="B28" s="46">
        <v>125</v>
      </c>
      <c r="C28" s="39" t="s">
        <v>8</v>
      </c>
      <c r="D28" s="72">
        <v>10.7</v>
      </c>
      <c r="E28" s="37"/>
      <c r="F28" s="5"/>
      <c r="G28" s="5"/>
      <c r="H28" s="28">
        <v>9.6999999999999993</v>
      </c>
      <c r="I28" s="34"/>
      <c r="J28" s="8">
        <v>6.3</v>
      </c>
      <c r="K28" s="79">
        <v>14</v>
      </c>
      <c r="L28" s="34"/>
      <c r="M28" s="41"/>
    </row>
    <row r="29" spans="2:13" x14ac:dyDescent="0.25">
      <c r="B29" s="25">
        <v>126</v>
      </c>
      <c r="C29" s="40" t="s">
        <v>29</v>
      </c>
      <c r="D29" s="8">
        <v>50</v>
      </c>
      <c r="E29" s="37">
        <v>50.5</v>
      </c>
      <c r="F29" s="5"/>
      <c r="G29" s="5"/>
      <c r="H29" s="28"/>
      <c r="I29" s="34"/>
      <c r="J29" s="8"/>
      <c r="K29" s="79">
        <v>25.3</v>
      </c>
      <c r="L29" s="34"/>
      <c r="M29" s="41"/>
    </row>
    <row r="30" spans="2:13" x14ac:dyDescent="0.25">
      <c r="B30" s="25">
        <v>127</v>
      </c>
      <c r="C30" s="40" t="s">
        <v>30</v>
      </c>
      <c r="D30" s="8">
        <v>73.8</v>
      </c>
      <c r="E30" s="37">
        <v>74.3</v>
      </c>
      <c r="F30" s="5">
        <v>3.1</v>
      </c>
      <c r="G30" s="5"/>
      <c r="H30" s="28"/>
      <c r="I30" s="34"/>
      <c r="J30" s="8"/>
      <c r="K30" s="79">
        <v>34.299999999999997</v>
      </c>
      <c r="L30" s="34"/>
      <c r="M30" s="41"/>
    </row>
    <row r="31" spans="2:13" x14ac:dyDescent="0.25">
      <c r="B31" s="25">
        <v>128</v>
      </c>
      <c r="C31" s="40" t="s">
        <v>31</v>
      </c>
      <c r="D31" s="8">
        <v>17.7</v>
      </c>
      <c r="E31" s="37">
        <v>17.8</v>
      </c>
      <c r="F31" s="5">
        <v>2.2999999999999998</v>
      </c>
      <c r="G31" s="5"/>
      <c r="H31" s="28"/>
      <c r="I31" s="34"/>
      <c r="J31" s="8"/>
      <c r="K31" s="79">
        <v>11.4</v>
      </c>
      <c r="L31" s="34"/>
      <c r="M31" s="41"/>
    </row>
    <row r="32" spans="2:13" x14ac:dyDescent="0.25">
      <c r="B32" s="25">
        <v>129</v>
      </c>
      <c r="C32" s="40" t="s">
        <v>32</v>
      </c>
      <c r="D32" s="8">
        <v>4.0999999999999996</v>
      </c>
      <c r="E32" s="37"/>
      <c r="F32" s="5"/>
      <c r="G32" s="5"/>
      <c r="H32" s="28"/>
      <c r="I32" s="34"/>
      <c r="J32" s="8">
        <v>4.7</v>
      </c>
      <c r="K32" s="79">
        <v>5.6</v>
      </c>
      <c r="L32" s="34"/>
      <c r="M32" s="41"/>
    </row>
    <row r="33" spans="2:13" x14ac:dyDescent="0.25">
      <c r="B33" s="25">
        <v>130</v>
      </c>
      <c r="C33" s="40" t="s">
        <v>33</v>
      </c>
      <c r="D33" s="8">
        <v>31.9</v>
      </c>
      <c r="E33" s="37"/>
      <c r="F33" s="5"/>
      <c r="G33" s="5">
        <v>32.200000000000003</v>
      </c>
      <c r="H33" s="28"/>
      <c r="I33" s="34"/>
      <c r="J33" s="8"/>
      <c r="K33" s="79"/>
      <c r="L33" s="34"/>
      <c r="M33" s="41"/>
    </row>
    <row r="34" spans="2:13" x14ac:dyDescent="0.25">
      <c r="B34" s="25">
        <v>131</v>
      </c>
      <c r="C34" s="40" t="s">
        <v>17</v>
      </c>
      <c r="D34" s="8">
        <v>1.3</v>
      </c>
      <c r="E34" s="37"/>
      <c r="F34" s="5"/>
      <c r="G34" s="5"/>
      <c r="H34" s="28">
        <v>2.2000000000000002</v>
      </c>
      <c r="I34" s="34"/>
      <c r="J34" s="8"/>
      <c r="K34" s="79"/>
      <c r="L34" s="34"/>
      <c r="M34" s="41"/>
    </row>
    <row r="35" spans="2:13" x14ac:dyDescent="0.25">
      <c r="B35" s="25">
        <v>132</v>
      </c>
      <c r="C35" s="40" t="s">
        <v>34</v>
      </c>
      <c r="D35" s="8">
        <v>4.2</v>
      </c>
      <c r="E35" s="37"/>
      <c r="F35" s="5"/>
      <c r="G35" s="5"/>
      <c r="H35" s="28"/>
      <c r="I35" s="34"/>
      <c r="J35" s="8">
        <v>4.7</v>
      </c>
      <c r="K35" s="79">
        <v>5.6</v>
      </c>
      <c r="L35" s="34"/>
      <c r="M35" s="41"/>
    </row>
    <row r="36" spans="2:13" x14ac:dyDescent="0.25">
      <c r="B36" s="25">
        <v>133</v>
      </c>
      <c r="C36" s="40" t="s">
        <v>35</v>
      </c>
      <c r="D36" s="8">
        <v>17.3</v>
      </c>
      <c r="E36" s="37">
        <v>17.8</v>
      </c>
      <c r="F36" s="5">
        <v>1.2</v>
      </c>
      <c r="G36" s="5"/>
      <c r="H36" s="5"/>
      <c r="I36" s="25"/>
      <c r="J36" s="8"/>
      <c r="K36" s="51">
        <v>14.3</v>
      </c>
      <c r="L36" s="25"/>
      <c r="M36" s="8"/>
    </row>
    <row r="37" spans="2:13" x14ac:dyDescent="0.25">
      <c r="B37" s="25">
        <v>134</v>
      </c>
      <c r="C37" s="40" t="s">
        <v>37</v>
      </c>
      <c r="D37" s="8">
        <v>73.8</v>
      </c>
      <c r="E37" s="37">
        <v>74.3</v>
      </c>
      <c r="F37" s="5">
        <v>3.1</v>
      </c>
      <c r="G37" s="5"/>
      <c r="H37" s="5"/>
      <c r="I37" s="25"/>
      <c r="J37" s="8"/>
      <c r="K37" s="51">
        <v>33.700000000000003</v>
      </c>
      <c r="L37" s="25"/>
      <c r="M37" s="8"/>
    </row>
    <row r="38" spans="2:13" x14ac:dyDescent="0.25">
      <c r="B38" s="25">
        <v>135</v>
      </c>
      <c r="C38" s="40" t="s">
        <v>36</v>
      </c>
      <c r="D38" s="8">
        <v>49.5</v>
      </c>
      <c r="E38" s="37">
        <v>50</v>
      </c>
      <c r="F38" s="5"/>
      <c r="G38" s="5"/>
      <c r="H38" s="5"/>
      <c r="I38" s="25"/>
      <c r="J38" s="8"/>
      <c r="K38" s="51">
        <v>26.3</v>
      </c>
      <c r="L38" s="25"/>
      <c r="M38" s="8"/>
    </row>
    <row r="39" spans="2:13" x14ac:dyDescent="0.25">
      <c r="B39" s="25">
        <v>136</v>
      </c>
      <c r="C39" s="40" t="s">
        <v>38</v>
      </c>
      <c r="D39" s="8">
        <v>49.5</v>
      </c>
      <c r="E39" s="37">
        <v>50</v>
      </c>
      <c r="F39" s="5"/>
      <c r="G39" s="5"/>
      <c r="H39" s="5"/>
      <c r="I39" s="25"/>
      <c r="J39" s="8"/>
      <c r="K39" s="51">
        <v>26.4</v>
      </c>
      <c r="L39" s="25"/>
      <c r="M39" s="8"/>
    </row>
    <row r="40" spans="2:13" x14ac:dyDescent="0.25">
      <c r="B40" s="25">
        <v>137</v>
      </c>
      <c r="C40" s="40" t="s">
        <v>39</v>
      </c>
      <c r="D40" s="8">
        <v>73.8</v>
      </c>
      <c r="E40" s="37">
        <v>74.400000000000006</v>
      </c>
      <c r="F40" s="5">
        <v>3.1</v>
      </c>
      <c r="G40" s="5"/>
      <c r="H40" s="5"/>
      <c r="I40" s="25"/>
      <c r="J40" s="8"/>
      <c r="K40" s="51">
        <v>33.700000000000003</v>
      </c>
      <c r="L40" s="25"/>
      <c r="M40" s="8"/>
    </row>
    <row r="41" spans="2:13" x14ac:dyDescent="0.25">
      <c r="B41" s="25">
        <v>138</v>
      </c>
      <c r="C41" s="40" t="s">
        <v>40</v>
      </c>
      <c r="D41" s="8">
        <v>17.3</v>
      </c>
      <c r="E41" s="37">
        <v>17.7</v>
      </c>
      <c r="F41" s="5">
        <v>1.2</v>
      </c>
      <c r="G41" s="5"/>
      <c r="H41" s="5"/>
      <c r="I41" s="25"/>
      <c r="J41" s="8"/>
      <c r="K41" s="51">
        <v>11.3</v>
      </c>
      <c r="L41" s="25"/>
      <c r="M41" s="8"/>
    </row>
    <row r="42" spans="2:13" x14ac:dyDescent="0.25">
      <c r="B42" s="25">
        <v>139</v>
      </c>
      <c r="C42" s="40" t="s">
        <v>41</v>
      </c>
      <c r="D42" s="8">
        <v>4.2</v>
      </c>
      <c r="E42" s="37"/>
      <c r="F42" s="5"/>
      <c r="G42" s="5"/>
      <c r="H42" s="5"/>
      <c r="I42" s="25"/>
      <c r="J42" s="8">
        <v>4.7</v>
      </c>
      <c r="K42" s="51">
        <v>6</v>
      </c>
      <c r="L42" s="25"/>
      <c r="M42" s="8"/>
    </row>
    <row r="43" spans="2:13" x14ac:dyDescent="0.25">
      <c r="B43" s="25">
        <v>140</v>
      </c>
      <c r="C43" s="40" t="s">
        <v>42</v>
      </c>
      <c r="D43" s="8">
        <v>31.9</v>
      </c>
      <c r="E43" s="37"/>
      <c r="F43" s="5"/>
      <c r="G43" s="5">
        <v>32.200000000000003</v>
      </c>
      <c r="H43" s="5"/>
      <c r="I43" s="25"/>
      <c r="J43" s="8"/>
      <c r="K43" s="51">
        <v>11.5</v>
      </c>
      <c r="L43" s="25"/>
      <c r="M43" s="8"/>
    </row>
    <row r="44" spans="2:13" x14ac:dyDescent="0.25">
      <c r="B44" s="25">
        <v>141</v>
      </c>
      <c r="C44" s="40" t="s">
        <v>17</v>
      </c>
      <c r="D44" s="8">
        <v>1.3</v>
      </c>
      <c r="E44" s="37"/>
      <c r="F44" s="5"/>
      <c r="G44" s="5"/>
      <c r="H44" s="5">
        <v>2.2000000000000002</v>
      </c>
      <c r="I44" s="25"/>
      <c r="J44" s="8"/>
      <c r="K44" s="51"/>
      <c r="L44" s="25"/>
      <c r="M44" s="8"/>
    </row>
    <row r="45" spans="2:13" x14ac:dyDescent="0.25">
      <c r="B45" s="25">
        <v>142</v>
      </c>
      <c r="C45" s="40" t="s">
        <v>43</v>
      </c>
      <c r="D45" s="8">
        <v>4.0999999999999996</v>
      </c>
      <c r="E45" s="37"/>
      <c r="F45" s="5"/>
      <c r="G45" s="5"/>
      <c r="H45" s="5"/>
      <c r="I45" s="25"/>
      <c r="J45" s="8">
        <v>4.7</v>
      </c>
      <c r="K45" s="51">
        <v>6</v>
      </c>
      <c r="L45" s="25"/>
      <c r="M45" s="8"/>
    </row>
    <row r="46" spans="2:13" x14ac:dyDescent="0.25">
      <c r="B46" s="25">
        <v>143</v>
      </c>
      <c r="C46" s="40" t="s">
        <v>44</v>
      </c>
      <c r="D46" s="8">
        <v>17.7</v>
      </c>
      <c r="E46" s="37">
        <v>17.7</v>
      </c>
      <c r="F46" s="5">
        <v>2.2999999999999998</v>
      </c>
      <c r="G46" s="5"/>
      <c r="H46" s="5"/>
      <c r="I46" s="25"/>
      <c r="J46" s="8"/>
      <c r="K46" s="51">
        <v>11.5</v>
      </c>
      <c r="L46" s="25"/>
      <c r="M46" s="8"/>
    </row>
    <row r="47" spans="2:13" x14ac:dyDescent="0.25">
      <c r="B47" s="25">
        <v>144</v>
      </c>
      <c r="C47" s="40" t="s">
        <v>45</v>
      </c>
      <c r="D47" s="8">
        <v>73.8</v>
      </c>
      <c r="E47" s="37">
        <v>74.400000000000006</v>
      </c>
      <c r="F47" s="5">
        <v>3.1</v>
      </c>
      <c r="G47" s="5"/>
      <c r="H47" s="5"/>
      <c r="I47" s="25"/>
      <c r="J47" s="8"/>
      <c r="K47" s="51">
        <v>34.299999999999997</v>
      </c>
      <c r="L47" s="25"/>
      <c r="M47" s="8"/>
    </row>
    <row r="48" spans="2:13" x14ac:dyDescent="0.25">
      <c r="B48" s="25">
        <v>145</v>
      </c>
      <c r="C48" s="40" t="s">
        <v>46</v>
      </c>
      <c r="D48" s="8">
        <v>50</v>
      </c>
      <c r="E48" s="37">
        <v>50</v>
      </c>
      <c r="F48" s="5"/>
      <c r="G48" s="5"/>
      <c r="H48" s="5"/>
      <c r="I48" s="25"/>
      <c r="J48" s="8"/>
      <c r="K48" s="51">
        <v>26</v>
      </c>
      <c r="L48" s="25"/>
      <c r="M48" s="8"/>
    </row>
    <row r="49" spans="2:13" x14ac:dyDescent="0.25">
      <c r="B49" s="25">
        <v>146</v>
      </c>
      <c r="C49" s="40" t="s">
        <v>47</v>
      </c>
      <c r="D49" s="8">
        <v>73.8</v>
      </c>
      <c r="E49" s="37">
        <v>74.3</v>
      </c>
      <c r="F49" s="5">
        <v>3.5</v>
      </c>
      <c r="G49" s="5"/>
      <c r="H49" s="5"/>
      <c r="I49" s="25"/>
      <c r="J49" s="8"/>
      <c r="K49" s="51">
        <v>35.200000000000003</v>
      </c>
      <c r="L49" s="25"/>
      <c r="M49" s="8"/>
    </row>
    <row r="50" spans="2:13" x14ac:dyDescent="0.25">
      <c r="B50" s="25">
        <v>147</v>
      </c>
      <c r="C50" s="40" t="s">
        <v>48</v>
      </c>
      <c r="D50" s="8">
        <v>22.7</v>
      </c>
      <c r="E50" s="37">
        <v>23.3</v>
      </c>
      <c r="F50" s="5">
        <v>3.5</v>
      </c>
      <c r="G50" s="5"/>
      <c r="H50" s="5"/>
      <c r="I50" s="25"/>
      <c r="J50" s="8"/>
      <c r="K50" s="51">
        <v>19.2</v>
      </c>
      <c r="L50" s="25"/>
      <c r="M50" s="8"/>
    </row>
    <row r="51" spans="2:13" x14ac:dyDescent="0.25">
      <c r="B51" s="25">
        <v>148</v>
      </c>
      <c r="C51" s="40" t="s">
        <v>49</v>
      </c>
      <c r="D51" s="8">
        <v>48.5</v>
      </c>
      <c r="E51" s="37">
        <v>48.9</v>
      </c>
      <c r="F51" s="5"/>
      <c r="G51" s="5"/>
      <c r="H51" s="5"/>
      <c r="I51" s="25"/>
      <c r="J51" s="8"/>
      <c r="K51" s="51">
        <v>27</v>
      </c>
      <c r="L51" s="25"/>
      <c r="M51" s="8"/>
    </row>
    <row r="52" spans="2:13" x14ac:dyDescent="0.25">
      <c r="B52" s="25">
        <v>149</v>
      </c>
      <c r="C52" s="40" t="s">
        <v>50</v>
      </c>
      <c r="D52" s="8">
        <v>14.9</v>
      </c>
      <c r="E52" s="37"/>
      <c r="F52" s="5"/>
      <c r="G52" s="5">
        <v>15</v>
      </c>
      <c r="H52" s="5"/>
      <c r="I52" s="25"/>
      <c r="J52" s="8"/>
      <c r="K52" s="51"/>
      <c r="L52" s="25"/>
      <c r="M52" s="8"/>
    </row>
    <row r="53" spans="2:13" x14ac:dyDescent="0.25">
      <c r="B53" s="25">
        <v>150</v>
      </c>
      <c r="C53" s="40" t="s">
        <v>11</v>
      </c>
      <c r="D53" s="8">
        <v>24.4</v>
      </c>
      <c r="E53" s="37">
        <v>24.9</v>
      </c>
      <c r="F53" s="5">
        <v>3.5</v>
      </c>
      <c r="G53" s="5"/>
      <c r="H53" s="5"/>
      <c r="I53" s="25"/>
      <c r="J53" s="8"/>
      <c r="K53" s="51">
        <v>18</v>
      </c>
      <c r="L53" s="25"/>
      <c r="M53" s="8"/>
    </row>
    <row r="54" spans="2:13" x14ac:dyDescent="0.25">
      <c r="B54" s="25">
        <v>151</v>
      </c>
      <c r="C54" s="40" t="s">
        <v>16</v>
      </c>
      <c r="D54" s="8">
        <v>36.6</v>
      </c>
      <c r="E54" s="37">
        <v>38</v>
      </c>
      <c r="F54" s="5">
        <v>9.1999999999999993</v>
      </c>
      <c r="G54" s="5"/>
      <c r="H54" s="5"/>
      <c r="I54" s="25"/>
      <c r="J54" s="8"/>
      <c r="K54" s="51">
        <v>34.799999999999997</v>
      </c>
      <c r="L54" s="25"/>
      <c r="M54" s="8"/>
    </row>
    <row r="55" spans="2:13" x14ac:dyDescent="0.25">
      <c r="B55" s="25">
        <v>152</v>
      </c>
      <c r="C55" s="40" t="s">
        <v>51</v>
      </c>
      <c r="D55" s="8">
        <v>3.6</v>
      </c>
      <c r="E55" s="37"/>
      <c r="F55" s="5"/>
      <c r="G55" s="5"/>
      <c r="H55" s="5"/>
      <c r="I55" s="25">
        <v>4</v>
      </c>
      <c r="J55" s="8"/>
      <c r="K55" s="51"/>
      <c r="L55" s="25"/>
      <c r="M55" s="8"/>
    </row>
    <row r="56" spans="2:13" x14ac:dyDescent="0.25">
      <c r="B56" s="25">
        <v>153</v>
      </c>
      <c r="C56" s="40" t="s">
        <v>52</v>
      </c>
      <c r="D56" s="8">
        <v>4</v>
      </c>
      <c r="E56" s="37"/>
      <c r="F56" s="5"/>
      <c r="G56" s="5"/>
      <c r="H56" s="5"/>
      <c r="I56" s="25">
        <v>5.7</v>
      </c>
      <c r="J56" s="8"/>
      <c r="K56" s="51"/>
      <c r="L56" s="25">
        <v>2.34</v>
      </c>
      <c r="M56" s="8"/>
    </row>
    <row r="57" spans="2:13" x14ac:dyDescent="0.25">
      <c r="B57" s="25">
        <v>154</v>
      </c>
      <c r="C57" s="40" t="s">
        <v>53</v>
      </c>
      <c r="D57" s="8">
        <v>15.6</v>
      </c>
      <c r="E57" s="37"/>
      <c r="F57" s="5"/>
      <c r="G57" s="5"/>
      <c r="H57" s="5"/>
      <c r="I57" s="25">
        <v>15.2</v>
      </c>
      <c r="J57" s="8"/>
      <c r="K57" s="51"/>
      <c r="L57" s="25"/>
      <c r="M57" s="8"/>
    </row>
    <row r="58" spans="2:13" x14ac:dyDescent="0.25">
      <c r="B58" s="25">
        <v>155</v>
      </c>
      <c r="C58" s="40" t="s">
        <v>16</v>
      </c>
      <c r="D58" s="8">
        <v>12.1</v>
      </c>
      <c r="E58" s="37"/>
      <c r="F58" s="5"/>
      <c r="G58" s="5"/>
      <c r="H58" s="5"/>
      <c r="I58" s="25">
        <v>16.5</v>
      </c>
      <c r="J58" s="8"/>
      <c r="K58" s="51"/>
      <c r="L58" s="25">
        <v>2.34</v>
      </c>
      <c r="M58" s="8"/>
    </row>
    <row r="59" spans="2:13" x14ac:dyDescent="0.25">
      <c r="B59" s="25">
        <v>156</v>
      </c>
      <c r="C59" s="40" t="s">
        <v>54</v>
      </c>
      <c r="D59" s="8">
        <v>5.0999999999999996</v>
      </c>
      <c r="E59" s="37"/>
      <c r="F59" s="5"/>
      <c r="G59" s="5"/>
      <c r="H59" s="5"/>
      <c r="I59" s="25">
        <v>6.5</v>
      </c>
      <c r="J59" s="8"/>
      <c r="K59" s="51"/>
      <c r="L59" s="25">
        <v>2.88</v>
      </c>
      <c r="M59" s="8"/>
    </row>
    <row r="60" spans="2:13" x14ac:dyDescent="0.25">
      <c r="B60" s="25">
        <v>157</v>
      </c>
      <c r="C60" s="40" t="s">
        <v>22</v>
      </c>
      <c r="D60" s="8">
        <v>3.9</v>
      </c>
      <c r="E60" s="37"/>
      <c r="F60" s="5"/>
      <c r="G60" s="5"/>
      <c r="H60" s="5"/>
      <c r="I60" s="25">
        <v>4.3</v>
      </c>
      <c r="J60" s="8"/>
      <c r="K60" s="51"/>
      <c r="L60" s="25">
        <v>1.17</v>
      </c>
      <c r="M60" s="8"/>
    </row>
    <row r="61" spans="2:13" x14ac:dyDescent="0.25">
      <c r="B61" s="25">
        <v>158</v>
      </c>
      <c r="C61" s="40" t="s">
        <v>55</v>
      </c>
      <c r="D61" s="8">
        <v>2</v>
      </c>
      <c r="E61" s="37"/>
      <c r="F61" s="5"/>
      <c r="G61" s="5"/>
      <c r="H61" s="5"/>
      <c r="I61" s="25">
        <v>2.9</v>
      </c>
      <c r="J61" s="8"/>
      <c r="K61" s="51"/>
      <c r="L61" s="25"/>
      <c r="M61" s="8"/>
    </row>
    <row r="62" spans="2:13" x14ac:dyDescent="0.25">
      <c r="B62" s="25">
        <v>159</v>
      </c>
      <c r="C62" s="40" t="s">
        <v>17</v>
      </c>
      <c r="D62" s="8">
        <v>2.2999999999999998</v>
      </c>
      <c r="E62" s="37"/>
      <c r="F62" s="5"/>
      <c r="G62" s="5"/>
      <c r="H62" s="5"/>
      <c r="I62" s="25">
        <v>2.9</v>
      </c>
      <c r="J62" s="8"/>
      <c r="K62" s="51"/>
      <c r="L62" s="25"/>
      <c r="M62" s="8"/>
    </row>
    <row r="63" spans="2:13" x14ac:dyDescent="0.25">
      <c r="B63" s="25">
        <v>160</v>
      </c>
      <c r="C63" s="40" t="s">
        <v>16</v>
      </c>
      <c r="D63" s="8">
        <v>4.5</v>
      </c>
      <c r="E63" s="37"/>
      <c r="F63" s="5"/>
      <c r="G63" s="5"/>
      <c r="H63" s="5"/>
      <c r="I63" s="25">
        <v>5.4</v>
      </c>
      <c r="J63" s="8"/>
      <c r="K63" s="51"/>
      <c r="L63" s="25"/>
      <c r="M63" s="8"/>
    </row>
    <row r="64" spans="2:13" x14ac:dyDescent="0.25">
      <c r="B64" s="25">
        <v>161</v>
      </c>
      <c r="C64" s="40" t="s">
        <v>56</v>
      </c>
      <c r="D64" s="8">
        <v>7</v>
      </c>
      <c r="E64" s="37"/>
      <c r="F64" s="5"/>
      <c r="G64" s="5"/>
      <c r="H64" s="5"/>
      <c r="I64" s="25">
        <v>7.6</v>
      </c>
      <c r="J64" s="8"/>
      <c r="K64" s="51"/>
      <c r="L64" s="25"/>
      <c r="M64" s="8"/>
    </row>
    <row r="65" spans="2:13" x14ac:dyDescent="0.25">
      <c r="B65" s="25">
        <v>163</v>
      </c>
      <c r="C65" s="40" t="s">
        <v>57</v>
      </c>
      <c r="D65" s="8">
        <v>4.4000000000000004</v>
      </c>
      <c r="E65" s="37"/>
      <c r="F65" s="5"/>
      <c r="G65" s="5"/>
      <c r="H65" s="5"/>
      <c r="I65" s="25"/>
      <c r="J65" s="8"/>
      <c r="K65" s="51"/>
      <c r="L65" s="25"/>
      <c r="M65" s="8"/>
    </row>
    <row r="66" spans="2:13" x14ac:dyDescent="0.25">
      <c r="B66" s="25">
        <v>165</v>
      </c>
      <c r="C66" s="40" t="s">
        <v>58</v>
      </c>
      <c r="D66" s="8">
        <v>5.3</v>
      </c>
      <c r="E66" s="37"/>
      <c r="F66" s="5"/>
      <c r="G66" s="5"/>
      <c r="H66" s="5"/>
      <c r="I66" s="25">
        <v>5.8</v>
      </c>
      <c r="J66" s="8"/>
      <c r="K66" s="51"/>
      <c r="L66" s="25"/>
      <c r="M66" s="8"/>
    </row>
    <row r="67" spans="2:13" x14ac:dyDescent="0.25">
      <c r="B67" s="25">
        <v>166</v>
      </c>
      <c r="C67" s="40" t="s">
        <v>59</v>
      </c>
      <c r="D67" s="8">
        <v>4.4000000000000004</v>
      </c>
      <c r="E67" s="37"/>
      <c r="F67" s="5"/>
      <c r="G67" s="5"/>
      <c r="H67" s="5"/>
      <c r="I67" s="25">
        <v>4.7</v>
      </c>
      <c r="J67" s="8"/>
      <c r="K67" s="51"/>
      <c r="L67" s="25"/>
      <c r="M67" s="8"/>
    </row>
    <row r="68" spans="2:13" x14ac:dyDescent="0.25">
      <c r="B68" s="25">
        <v>167</v>
      </c>
      <c r="C68" s="40" t="s">
        <v>60</v>
      </c>
      <c r="D68" s="8">
        <v>3.2</v>
      </c>
      <c r="E68" s="37"/>
      <c r="F68" s="5"/>
      <c r="G68" s="5"/>
      <c r="H68" s="5"/>
      <c r="I68" s="25">
        <v>4.3</v>
      </c>
      <c r="J68" s="8"/>
      <c r="K68" s="51"/>
      <c r="L68" s="25"/>
      <c r="M68" s="8"/>
    </row>
    <row r="69" spans="2:13" x14ac:dyDescent="0.25">
      <c r="B69" s="25">
        <v>168</v>
      </c>
      <c r="C69" s="40" t="s">
        <v>61</v>
      </c>
      <c r="D69" s="8">
        <v>5.0999999999999996</v>
      </c>
      <c r="E69" s="37"/>
      <c r="F69" s="5"/>
      <c r="G69" s="5"/>
      <c r="H69" s="5"/>
      <c r="I69" s="25">
        <v>6.2</v>
      </c>
      <c r="J69" s="8"/>
      <c r="K69" s="51"/>
      <c r="L69" s="25"/>
      <c r="M69" s="8"/>
    </row>
    <row r="70" spans="2:13" x14ac:dyDescent="0.25">
      <c r="B70" s="25">
        <v>169</v>
      </c>
      <c r="C70" s="40" t="s">
        <v>60</v>
      </c>
      <c r="D70" s="8">
        <v>26.7</v>
      </c>
      <c r="E70" s="37"/>
      <c r="F70" s="5"/>
      <c r="G70" s="5"/>
      <c r="H70" s="5"/>
      <c r="I70" s="25">
        <v>31.3</v>
      </c>
      <c r="J70" s="8"/>
      <c r="K70" s="51"/>
      <c r="L70" s="25"/>
      <c r="M70" s="8"/>
    </row>
    <row r="71" spans="2:13" x14ac:dyDescent="0.25">
      <c r="B71" s="25">
        <v>170</v>
      </c>
      <c r="C71" s="40" t="s">
        <v>12</v>
      </c>
      <c r="D71" s="8">
        <v>9.4</v>
      </c>
      <c r="E71" s="37">
        <v>10</v>
      </c>
      <c r="F71" s="5"/>
      <c r="G71" s="5"/>
      <c r="H71" s="5"/>
      <c r="I71" s="25"/>
      <c r="J71" s="8"/>
      <c r="K71" s="51">
        <v>15.6</v>
      </c>
      <c r="L71" s="25"/>
      <c r="M71" s="8"/>
    </row>
    <row r="72" spans="2:13" x14ac:dyDescent="0.25">
      <c r="B72" s="25">
        <v>171</v>
      </c>
      <c r="C72" s="40" t="s">
        <v>12</v>
      </c>
      <c r="D72" s="8">
        <v>9.5</v>
      </c>
      <c r="E72" s="37">
        <v>10</v>
      </c>
      <c r="F72" s="5"/>
      <c r="G72" s="5"/>
      <c r="H72" s="5"/>
      <c r="I72" s="25"/>
      <c r="J72" s="8"/>
      <c r="K72" s="51">
        <v>14.1</v>
      </c>
      <c r="L72" s="25"/>
      <c r="M72" s="8"/>
    </row>
    <row r="73" spans="2:13" x14ac:dyDescent="0.25">
      <c r="B73" s="25">
        <v>172</v>
      </c>
      <c r="C73" s="40" t="s">
        <v>62</v>
      </c>
      <c r="D73" s="8">
        <v>176.6</v>
      </c>
      <c r="E73" s="37">
        <v>178</v>
      </c>
      <c r="F73" s="5"/>
      <c r="G73" s="5"/>
      <c r="H73" s="5"/>
      <c r="I73" s="25"/>
      <c r="J73" s="8"/>
      <c r="K73" s="51">
        <v>70</v>
      </c>
      <c r="L73" s="25"/>
      <c r="M73" s="8">
        <f>1.2*6</f>
        <v>7.1999999999999993</v>
      </c>
    </row>
    <row r="74" spans="2:13" ht="16.5" thickBot="1" x14ac:dyDescent="0.3">
      <c r="B74" s="27">
        <v>173</v>
      </c>
      <c r="C74" s="73" t="s">
        <v>63</v>
      </c>
      <c r="D74" s="15">
        <v>2.2000000000000002</v>
      </c>
      <c r="E74" s="64"/>
      <c r="F74" s="42"/>
      <c r="G74" s="42"/>
      <c r="H74" s="42"/>
      <c r="I74" s="43"/>
      <c r="J74" s="36"/>
      <c r="K74" s="52"/>
      <c r="L74" s="43"/>
      <c r="M74" s="36"/>
    </row>
    <row r="75" spans="2:13" s="4" customFormat="1" x14ac:dyDescent="0.25">
      <c r="B75" s="75"/>
      <c r="C75" s="74" t="s">
        <v>1</v>
      </c>
      <c r="D75" s="35">
        <f t="shared" ref="D75:J75" si="0">SUM(D4:D74)</f>
        <v>1786.3999999999999</v>
      </c>
      <c r="E75" s="66">
        <f>SUM(E4:E74)</f>
        <v>1444.3</v>
      </c>
      <c r="F75" s="45">
        <f t="shared" si="0"/>
        <v>130.39999999999998</v>
      </c>
      <c r="G75" s="45">
        <f t="shared" si="0"/>
        <v>94.4</v>
      </c>
      <c r="H75" s="45">
        <f t="shared" si="0"/>
        <v>36.300000000000004</v>
      </c>
      <c r="I75" s="44">
        <f>SUM(I4:I74)</f>
        <v>141.30000000000001</v>
      </c>
      <c r="J75" s="53">
        <f t="shared" si="0"/>
        <v>54.800000000000011</v>
      </c>
      <c r="K75" s="80">
        <f>SUM(K4:K74)</f>
        <v>865.7</v>
      </c>
      <c r="L75" s="44">
        <f>SUM(L4:L74)</f>
        <v>13.499999999999998</v>
      </c>
      <c r="M75" s="53">
        <f>SUM(M4:M74)</f>
        <v>14.399999999999999</v>
      </c>
    </row>
    <row r="76" spans="2:13" s="4" customFormat="1" ht="16.5" thickBot="1" x14ac:dyDescent="0.3">
      <c r="B76" s="20"/>
      <c r="C76" s="68" t="s">
        <v>96</v>
      </c>
      <c r="D76" s="47">
        <f>D75+gridas_2st!D51+'gridas_3 st'!D6</f>
        <v>3484.4999999999995</v>
      </c>
      <c r="E76" s="67">
        <f>E75</f>
        <v>1444.3</v>
      </c>
      <c r="F76" s="10">
        <f>F75</f>
        <v>130.39999999999998</v>
      </c>
      <c r="G76" s="10">
        <f>G75+gridas_2st!G51</f>
        <v>190.7</v>
      </c>
      <c r="H76" s="48">
        <f>H75+gridas_2st!K51</f>
        <v>56.2</v>
      </c>
      <c r="I76" s="78">
        <f>I75+gridas_2st!L51+'gridas_3 st'!E6</f>
        <v>263.5</v>
      </c>
      <c r="J76" s="11">
        <f>J75</f>
        <v>54.800000000000011</v>
      </c>
      <c r="K76" s="81">
        <f>K75+gridas_2st!M51</f>
        <v>1729.8000000000002</v>
      </c>
      <c r="L76" s="78">
        <f>L75+gridas_2st!N51+'gridas_3 st'!F6</f>
        <v>28.35</v>
      </c>
      <c r="M76" s="54">
        <f>M75+gridas_2st!O51</f>
        <v>25.2</v>
      </c>
    </row>
    <row r="77" spans="2:13" ht="15.75" customHeight="1" x14ac:dyDescent="0.25">
      <c r="E77" s="3"/>
      <c r="F77" s="3"/>
      <c r="G77" s="3"/>
      <c r="H77" s="3"/>
      <c r="I77" s="3"/>
      <c r="J77" s="3"/>
      <c r="K77" s="3"/>
    </row>
    <row r="78" spans="2:13" x14ac:dyDescent="0.25">
      <c r="B78" s="61" t="s">
        <v>99</v>
      </c>
      <c r="C78" s="62"/>
      <c r="D78" s="57"/>
      <c r="E78" s="56"/>
      <c r="G78" s="3"/>
      <c r="H78" s="61" t="s">
        <v>101</v>
      </c>
      <c r="I78" s="61"/>
      <c r="J78" s="3"/>
      <c r="K78" s="3"/>
    </row>
    <row r="79" spans="2:13" x14ac:dyDescent="0.25">
      <c r="B79" s="61" t="s">
        <v>100</v>
      </c>
      <c r="C79" s="62"/>
      <c r="D79" s="57"/>
      <c r="E79" s="56"/>
      <c r="G79" s="3"/>
      <c r="H79" s="61"/>
      <c r="I79" s="61" t="s">
        <v>103</v>
      </c>
      <c r="J79" s="3"/>
    </row>
    <row r="80" spans="2:13" x14ac:dyDescent="0.25">
      <c r="B80" s="63"/>
      <c r="C80" s="61" t="s">
        <v>98</v>
      </c>
      <c r="D80" s="57"/>
      <c r="E80" s="56"/>
      <c r="H80" s="61"/>
      <c r="I80" s="61" t="s">
        <v>102</v>
      </c>
    </row>
    <row r="81" spans="4:9" x14ac:dyDescent="0.25">
      <c r="D81" s="57"/>
      <c r="E81" s="56"/>
      <c r="H81" s="61"/>
      <c r="I81" s="61" t="s">
        <v>115</v>
      </c>
    </row>
    <row r="82" spans="4:9" x14ac:dyDescent="0.25">
      <c r="D82" s="57"/>
      <c r="E82" s="56"/>
    </row>
    <row r="83" spans="4:9" x14ac:dyDescent="0.25">
      <c r="D83" s="57"/>
      <c r="E83" s="56"/>
    </row>
    <row r="84" spans="4:9" x14ac:dyDescent="0.25">
      <c r="D84" s="3"/>
    </row>
  </sheetData>
  <mergeCells count="2">
    <mergeCell ref="E2:J2"/>
    <mergeCell ref="K2:M2"/>
  </mergeCells>
  <pageMargins left="0.7" right="0.7" top="0.75" bottom="0.75" header="0.3" footer="0.3"/>
  <pageSetup paperSize="257" orientation="portrait" horizont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AX83"/>
  <sheetViews>
    <sheetView topLeftCell="D1" zoomScale="115" zoomScaleNormal="115" zoomScalePageLayoutView="115" workbookViewId="0">
      <pane ySplit="3" topLeftCell="A64" activePane="bottomLeft" state="frozen"/>
      <selection pane="bottomLeft" activeCell="T3" sqref="T3"/>
    </sheetView>
  </sheetViews>
  <sheetFormatPr defaultRowHeight="15" x14ac:dyDescent="0.25"/>
  <cols>
    <col min="1" max="1" width="1.5703125" style="103" customWidth="1"/>
    <col min="2" max="2" width="6.140625" style="102" customWidth="1"/>
    <col min="3" max="3" width="30.85546875" style="103" customWidth="1"/>
    <col min="4" max="4" width="11.140625" style="102" customWidth="1"/>
    <col min="5" max="5" width="5.140625" style="103" customWidth="1"/>
    <col min="6" max="6" width="4.7109375" style="103" customWidth="1"/>
    <col min="7" max="7" width="5.85546875" style="103" customWidth="1"/>
    <col min="8" max="8" width="4.140625" style="103" customWidth="1"/>
    <col min="9" max="10" width="5" style="103" customWidth="1"/>
    <col min="11" max="11" width="4.7109375" style="103" customWidth="1"/>
    <col min="12" max="12" width="5" style="103" customWidth="1"/>
    <col min="13" max="13" width="5.140625" style="103" customWidth="1"/>
    <col min="14" max="16" width="6.85546875" style="103" customWidth="1"/>
    <col min="17" max="17" width="4.140625" style="103" customWidth="1"/>
    <col min="18" max="22" width="6.85546875" style="103" customWidth="1"/>
    <col min="23" max="23" width="6.140625" style="103" customWidth="1"/>
    <col min="24" max="24" width="6" style="103" customWidth="1"/>
    <col min="25" max="25" width="4.85546875" style="103" customWidth="1"/>
    <col min="26" max="26" width="4.42578125" style="103" customWidth="1"/>
    <col min="27" max="27" width="6.85546875" style="103" customWidth="1"/>
    <col min="28" max="28" width="4.5703125" style="103" customWidth="1"/>
    <col min="29" max="30" width="6.85546875" style="103" customWidth="1"/>
    <col min="31" max="31" width="5.140625" style="103" customWidth="1"/>
    <col min="32" max="33" width="6.85546875" style="103" customWidth="1"/>
    <col min="34" max="34" width="4.5703125" style="103" customWidth="1"/>
    <col min="35" max="35" width="6.85546875" style="103" customWidth="1"/>
    <col min="36" max="36" width="5.28515625" style="103" customWidth="1"/>
    <col min="37" max="37" width="5.7109375" style="103" customWidth="1"/>
    <col min="38" max="38" width="8" style="103" customWidth="1"/>
    <col min="39" max="39" width="7" style="103" bestFit="1" customWidth="1"/>
    <col min="40" max="40" width="6.7109375" style="103" customWidth="1"/>
    <col min="41" max="41" width="7" style="103" bestFit="1" customWidth="1"/>
    <col min="42" max="42" width="8.42578125" style="103" customWidth="1"/>
    <col min="43" max="43" width="5.42578125" style="103" customWidth="1"/>
    <col min="44" max="44" width="5.140625" style="103" customWidth="1"/>
    <col min="45" max="46" width="7" style="103" bestFit="1" customWidth="1"/>
    <col min="47" max="47" width="6.5703125" style="103" customWidth="1"/>
    <col min="48" max="48" width="4.28515625" style="103" customWidth="1"/>
    <col min="49" max="49" width="4.140625" style="103" customWidth="1"/>
    <col min="50" max="50" width="6.5703125" style="103" customWidth="1"/>
    <col min="51" max="16384" width="9.140625" style="103"/>
  </cols>
  <sheetData>
    <row r="1" spans="2:50" ht="15.75" thickBot="1" x14ac:dyDescent="0.3"/>
    <row r="2" spans="2:50" ht="15.75" thickBot="1" x14ac:dyDescent="0.3">
      <c r="E2" s="616" t="s">
        <v>110</v>
      </c>
      <c r="F2" s="617"/>
      <c r="G2" s="617"/>
      <c r="H2" s="627" t="s">
        <v>6</v>
      </c>
      <c r="I2" s="630"/>
      <c r="J2" s="630"/>
      <c r="K2" s="630"/>
      <c r="L2" s="630"/>
      <c r="M2" s="630"/>
      <c r="N2" s="630"/>
      <c r="O2" s="630"/>
      <c r="P2" s="630"/>
      <c r="Q2" s="630"/>
      <c r="R2" s="630"/>
      <c r="S2" s="630"/>
      <c r="T2" s="628"/>
      <c r="U2" s="627" t="s">
        <v>106</v>
      </c>
      <c r="V2" s="628"/>
      <c r="W2" s="616" t="s">
        <v>107</v>
      </c>
      <c r="X2" s="617"/>
      <c r="Y2" s="616" t="s">
        <v>109</v>
      </c>
      <c r="Z2" s="617"/>
      <c r="AA2" s="617"/>
      <c r="AB2" s="617"/>
      <c r="AC2" s="617"/>
      <c r="AD2" s="617"/>
      <c r="AE2" s="617"/>
      <c r="AF2" s="617"/>
      <c r="AG2" s="617"/>
      <c r="AH2" s="617"/>
      <c r="AI2" s="617"/>
      <c r="AJ2" s="617"/>
      <c r="AK2" s="617"/>
      <c r="AL2" s="617"/>
      <c r="AM2" s="617"/>
      <c r="AN2" s="617"/>
      <c r="AO2" s="617"/>
      <c r="AP2" s="617"/>
      <c r="AQ2" s="617"/>
      <c r="AR2" s="617"/>
      <c r="AS2" s="617"/>
      <c r="AT2" s="617"/>
      <c r="AU2" s="617"/>
      <c r="AV2" s="617"/>
      <c r="AW2" s="617"/>
      <c r="AX2" s="618"/>
    </row>
    <row r="3" spans="2:50" ht="222" customHeight="1" thickBot="1" x14ac:dyDescent="0.3">
      <c r="B3" s="104" t="s">
        <v>5</v>
      </c>
      <c r="C3" s="348" t="s">
        <v>3</v>
      </c>
      <c r="D3" s="106" t="s">
        <v>138</v>
      </c>
      <c r="E3" s="349" t="s">
        <v>196</v>
      </c>
      <c r="F3" s="350" t="s">
        <v>197</v>
      </c>
      <c r="G3" s="351" t="s">
        <v>198</v>
      </c>
      <c r="H3" s="352" t="s">
        <v>199</v>
      </c>
      <c r="I3" s="353" t="s">
        <v>200</v>
      </c>
      <c r="J3" s="353" t="s">
        <v>201</v>
      </c>
      <c r="K3" s="353" t="s">
        <v>202</v>
      </c>
      <c r="L3" s="353" t="s">
        <v>203</v>
      </c>
      <c r="M3" s="353" t="s">
        <v>204</v>
      </c>
      <c r="N3" s="350" t="s">
        <v>205</v>
      </c>
      <c r="O3" s="350" t="s">
        <v>364</v>
      </c>
      <c r="P3" s="350" t="s">
        <v>366</v>
      </c>
      <c r="Q3" s="353" t="s">
        <v>365</v>
      </c>
      <c r="R3" s="353" t="s">
        <v>206</v>
      </c>
      <c r="S3" s="353" t="s">
        <v>207</v>
      </c>
      <c r="T3" s="353" t="s">
        <v>208</v>
      </c>
      <c r="U3" s="354" t="s">
        <v>209</v>
      </c>
      <c r="V3" s="355" t="s">
        <v>210</v>
      </c>
      <c r="W3" s="356" t="s">
        <v>211</v>
      </c>
      <c r="X3" s="343" t="s">
        <v>212</v>
      </c>
      <c r="Y3" s="317" t="s">
        <v>213</v>
      </c>
      <c r="Z3" s="111" t="s">
        <v>214</v>
      </c>
      <c r="AA3" s="111" t="s">
        <v>215</v>
      </c>
      <c r="AB3" s="111" t="s">
        <v>216</v>
      </c>
      <c r="AC3" s="111" t="s">
        <v>217</v>
      </c>
      <c r="AD3" s="111" t="s">
        <v>218</v>
      </c>
      <c r="AE3" s="111" t="s">
        <v>219</v>
      </c>
      <c r="AF3" s="111" t="s">
        <v>220</v>
      </c>
      <c r="AG3" s="111" t="s">
        <v>221</v>
      </c>
      <c r="AH3" s="111" t="s">
        <v>222</v>
      </c>
      <c r="AI3" s="111" t="s">
        <v>223</v>
      </c>
      <c r="AJ3" s="357" t="s">
        <v>224</v>
      </c>
      <c r="AK3" s="193" t="s">
        <v>225</v>
      </c>
      <c r="AL3" s="193" t="s">
        <v>226</v>
      </c>
      <c r="AM3" s="193" t="s">
        <v>227</v>
      </c>
      <c r="AN3" s="193" t="s">
        <v>228</v>
      </c>
      <c r="AO3" s="193" t="s">
        <v>229</v>
      </c>
      <c r="AP3" s="193" t="s">
        <v>230</v>
      </c>
      <c r="AQ3" s="193" t="s">
        <v>231</v>
      </c>
      <c r="AR3" s="193" t="s">
        <v>232</v>
      </c>
      <c r="AS3" s="193" t="s">
        <v>233</v>
      </c>
      <c r="AT3" s="193" t="s">
        <v>234</v>
      </c>
      <c r="AU3" s="193" t="s">
        <v>235</v>
      </c>
      <c r="AV3" s="193" t="s">
        <v>236</v>
      </c>
      <c r="AW3" s="193" t="s">
        <v>237</v>
      </c>
      <c r="AX3" s="343" t="s">
        <v>238</v>
      </c>
    </row>
    <row r="4" spans="2:50" x14ac:dyDescent="0.25">
      <c r="B4" s="321">
        <v>101</v>
      </c>
      <c r="C4" s="358" t="s">
        <v>8</v>
      </c>
      <c r="D4" s="330">
        <v>17.899999999999999</v>
      </c>
      <c r="E4" s="82"/>
      <c r="F4" s="114"/>
      <c r="G4" s="88"/>
      <c r="H4" s="82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  <c r="T4" s="83"/>
      <c r="U4" s="329"/>
      <c r="V4" s="83"/>
      <c r="W4" s="82"/>
      <c r="X4" s="114"/>
      <c r="Y4" s="320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321"/>
      <c r="AK4" s="88"/>
      <c r="AL4" s="88"/>
      <c r="AM4" s="88"/>
      <c r="AN4" s="88"/>
      <c r="AO4" s="88"/>
      <c r="AP4" s="88"/>
      <c r="AQ4" s="88"/>
      <c r="AR4" s="88"/>
      <c r="AS4" s="88"/>
      <c r="AT4" s="88"/>
      <c r="AU4" s="88"/>
      <c r="AV4" s="88"/>
      <c r="AW4" s="88"/>
      <c r="AX4" s="83"/>
    </row>
    <row r="5" spans="2:50" x14ac:dyDescent="0.25">
      <c r="B5" s="212">
        <v>102</v>
      </c>
      <c r="C5" s="203" t="s">
        <v>9</v>
      </c>
      <c r="D5" s="120">
        <v>57.6</v>
      </c>
      <c r="E5" s="320"/>
      <c r="F5" s="197"/>
      <c r="G5" s="321"/>
      <c r="H5" s="118"/>
      <c r="I5" s="121"/>
      <c r="J5" s="121"/>
      <c r="K5" s="121"/>
      <c r="L5" s="121"/>
      <c r="M5" s="119"/>
      <c r="N5" s="121"/>
      <c r="O5" s="121"/>
      <c r="P5" s="121"/>
      <c r="Q5" s="121"/>
      <c r="R5" s="121"/>
      <c r="S5" s="121"/>
      <c r="T5" s="120"/>
      <c r="U5" s="331"/>
      <c r="V5" s="330"/>
      <c r="W5" s="320"/>
      <c r="X5" s="197"/>
      <c r="Y5" s="320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321"/>
      <c r="AK5" s="321"/>
      <c r="AL5" s="321"/>
      <c r="AM5" s="321"/>
      <c r="AN5" s="321"/>
      <c r="AO5" s="321"/>
      <c r="AP5" s="321"/>
      <c r="AQ5" s="321"/>
      <c r="AR5" s="321"/>
      <c r="AS5" s="321"/>
      <c r="AT5" s="321"/>
      <c r="AU5" s="321"/>
      <c r="AV5" s="321"/>
      <c r="AW5" s="321"/>
      <c r="AX5" s="330"/>
    </row>
    <row r="6" spans="2:50" x14ac:dyDescent="0.25">
      <c r="B6" s="212">
        <v>103</v>
      </c>
      <c r="C6" s="203" t="s">
        <v>10</v>
      </c>
      <c r="D6" s="120">
        <v>141.69999999999999</v>
      </c>
      <c r="E6" s="320"/>
      <c r="F6" s="197"/>
      <c r="G6" s="321"/>
      <c r="H6" s="118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0"/>
      <c r="U6" s="331"/>
      <c r="V6" s="330"/>
      <c r="W6" s="320"/>
      <c r="X6" s="197"/>
      <c r="Y6" s="320"/>
      <c r="Z6" s="197"/>
      <c r="AA6" s="197"/>
      <c r="AB6" s="197"/>
      <c r="AC6" s="197"/>
      <c r="AD6" s="197">
        <v>84</v>
      </c>
      <c r="AE6" s="197"/>
      <c r="AF6" s="197"/>
      <c r="AG6" s="197"/>
      <c r="AH6" s="197"/>
      <c r="AI6" s="197"/>
      <c r="AJ6" s="321"/>
      <c r="AK6" s="321"/>
      <c r="AL6" s="321"/>
      <c r="AM6" s="321"/>
      <c r="AN6" s="321"/>
      <c r="AO6" s="321"/>
      <c r="AP6" s="321"/>
      <c r="AQ6" s="321"/>
      <c r="AR6" s="321"/>
      <c r="AS6" s="321"/>
      <c r="AT6" s="321"/>
      <c r="AU6" s="321">
        <v>8</v>
      </c>
      <c r="AV6" s="321"/>
      <c r="AW6" s="321"/>
      <c r="AX6" s="330"/>
    </row>
    <row r="7" spans="2:50" x14ac:dyDescent="0.25">
      <c r="B7" s="212">
        <v>104</v>
      </c>
      <c r="C7" s="203" t="s">
        <v>11</v>
      </c>
      <c r="D7" s="120">
        <v>33.4</v>
      </c>
      <c r="E7" s="320"/>
      <c r="F7" s="197"/>
      <c r="G7" s="321"/>
      <c r="H7" s="118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0"/>
      <c r="U7" s="331"/>
      <c r="V7" s="330"/>
      <c r="W7" s="320"/>
      <c r="X7" s="197"/>
      <c r="Y7" s="320"/>
      <c r="Z7" s="197"/>
      <c r="AA7" s="197"/>
      <c r="AB7" s="197"/>
      <c r="AC7" s="197"/>
      <c r="AD7" s="197"/>
      <c r="AE7" s="197"/>
      <c r="AF7" s="197"/>
      <c r="AG7" s="197"/>
      <c r="AH7" s="197"/>
      <c r="AI7" s="197"/>
      <c r="AJ7" s="321"/>
      <c r="AK7" s="321"/>
      <c r="AL7" s="321"/>
      <c r="AM7" s="321"/>
      <c r="AN7" s="321"/>
      <c r="AO7" s="321"/>
      <c r="AP7" s="321"/>
      <c r="AQ7" s="321"/>
      <c r="AR7" s="321"/>
      <c r="AS7" s="321"/>
      <c r="AT7" s="321"/>
      <c r="AU7" s="321"/>
      <c r="AV7" s="321"/>
      <c r="AW7" s="321"/>
      <c r="AX7" s="330"/>
    </row>
    <row r="8" spans="2:50" x14ac:dyDescent="0.25">
      <c r="B8" s="212">
        <v>105</v>
      </c>
      <c r="C8" s="203" t="s">
        <v>12</v>
      </c>
      <c r="D8" s="120">
        <v>9.4</v>
      </c>
      <c r="E8" s="320"/>
      <c r="F8" s="197"/>
      <c r="G8" s="321"/>
      <c r="H8" s="118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0"/>
      <c r="U8" s="331"/>
      <c r="V8" s="330"/>
      <c r="W8" s="320"/>
      <c r="X8" s="197"/>
      <c r="Y8" s="320"/>
      <c r="Z8" s="197"/>
      <c r="AA8" s="197"/>
      <c r="AB8" s="197"/>
      <c r="AC8" s="197"/>
      <c r="AD8" s="197"/>
      <c r="AE8" s="197"/>
      <c r="AF8" s="197"/>
      <c r="AG8" s="197"/>
      <c r="AH8" s="197"/>
      <c r="AI8" s="197"/>
      <c r="AJ8" s="321"/>
      <c r="AK8" s="321"/>
      <c r="AL8" s="321"/>
      <c r="AM8" s="321"/>
      <c r="AN8" s="321"/>
      <c r="AO8" s="321"/>
      <c r="AP8" s="321"/>
      <c r="AQ8" s="321"/>
      <c r="AR8" s="321"/>
      <c r="AS8" s="321"/>
      <c r="AT8" s="321"/>
      <c r="AU8" s="321"/>
      <c r="AV8" s="321">
        <v>2</v>
      </c>
      <c r="AW8" s="321">
        <v>2</v>
      </c>
      <c r="AX8" s="330"/>
    </row>
    <row r="9" spans="2:50" x14ac:dyDescent="0.25">
      <c r="B9" s="212">
        <v>106</v>
      </c>
      <c r="C9" s="203" t="s">
        <v>13</v>
      </c>
      <c r="D9" s="120">
        <v>3.6</v>
      </c>
      <c r="E9" s="320"/>
      <c r="F9" s="197"/>
      <c r="G9" s="321"/>
      <c r="H9" s="118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0"/>
      <c r="U9" s="331"/>
      <c r="V9" s="330"/>
      <c r="W9" s="320"/>
      <c r="X9" s="197"/>
      <c r="Y9" s="320"/>
      <c r="Z9" s="197"/>
      <c r="AA9" s="197"/>
      <c r="AB9" s="197"/>
      <c r="AC9" s="197"/>
      <c r="AD9" s="197"/>
      <c r="AE9" s="197"/>
      <c r="AF9" s="197">
        <v>1</v>
      </c>
      <c r="AG9" s="197"/>
      <c r="AH9" s="197"/>
      <c r="AI9" s="197"/>
      <c r="AJ9" s="321"/>
      <c r="AK9" s="321"/>
      <c r="AL9" s="321"/>
      <c r="AM9" s="321"/>
      <c r="AN9" s="321">
        <v>1</v>
      </c>
      <c r="AO9" s="321"/>
      <c r="AP9" s="321"/>
      <c r="AQ9" s="321"/>
      <c r="AR9" s="321"/>
      <c r="AS9" s="321"/>
      <c r="AT9" s="321"/>
      <c r="AU9" s="321"/>
      <c r="AV9" s="321"/>
      <c r="AW9" s="321"/>
      <c r="AX9" s="330"/>
    </row>
    <row r="10" spans="2:50" x14ac:dyDescent="0.25">
      <c r="B10" s="212">
        <v>107</v>
      </c>
      <c r="C10" s="203" t="s">
        <v>14</v>
      </c>
      <c r="D10" s="120">
        <v>13.1</v>
      </c>
      <c r="E10" s="320"/>
      <c r="F10" s="197"/>
      <c r="G10" s="321"/>
      <c r="H10" s="118"/>
      <c r="I10" s="121"/>
      <c r="J10" s="121"/>
      <c r="K10" s="121"/>
      <c r="L10" s="121"/>
      <c r="M10" s="121"/>
      <c r="N10" s="121"/>
      <c r="O10" s="121">
        <v>1</v>
      </c>
      <c r="P10" s="121"/>
      <c r="Q10" s="121"/>
      <c r="R10" s="121"/>
      <c r="S10" s="121"/>
      <c r="T10" s="120">
        <v>2</v>
      </c>
      <c r="U10" s="331"/>
      <c r="V10" s="330"/>
      <c r="W10" s="320"/>
      <c r="X10" s="197"/>
      <c r="Y10" s="320">
        <v>1</v>
      </c>
      <c r="Z10" s="197">
        <v>1</v>
      </c>
      <c r="AA10" s="197">
        <v>1</v>
      </c>
      <c r="AB10" s="197">
        <v>1</v>
      </c>
      <c r="AC10" s="197">
        <v>1</v>
      </c>
      <c r="AD10" s="197"/>
      <c r="AE10" s="197"/>
      <c r="AF10" s="197"/>
      <c r="AG10" s="197"/>
      <c r="AH10" s="197"/>
      <c r="AI10" s="197"/>
      <c r="AJ10" s="321"/>
      <c r="AK10" s="321"/>
      <c r="AL10" s="321"/>
      <c r="AM10" s="321"/>
      <c r="AN10" s="321"/>
      <c r="AO10" s="321"/>
      <c r="AP10" s="321"/>
      <c r="AQ10" s="321"/>
      <c r="AR10" s="321"/>
      <c r="AS10" s="321"/>
      <c r="AT10" s="321"/>
      <c r="AU10" s="321"/>
      <c r="AV10" s="321"/>
      <c r="AW10" s="321"/>
      <c r="AX10" s="330"/>
    </row>
    <row r="11" spans="2:50" x14ac:dyDescent="0.25">
      <c r="B11" s="212">
        <v>108</v>
      </c>
      <c r="C11" s="203" t="s">
        <v>15</v>
      </c>
      <c r="D11" s="120">
        <v>19.100000000000001</v>
      </c>
      <c r="E11" s="320"/>
      <c r="F11" s="197"/>
      <c r="G11" s="321"/>
      <c r="H11" s="118"/>
      <c r="I11" s="121"/>
      <c r="J11" s="121"/>
      <c r="K11" s="121"/>
      <c r="L11" s="121"/>
      <c r="M11" s="121"/>
      <c r="N11" s="121"/>
      <c r="O11" s="121">
        <v>2</v>
      </c>
      <c r="P11" s="121">
        <v>1</v>
      </c>
      <c r="Q11" s="121"/>
      <c r="R11" s="121"/>
      <c r="S11" s="121"/>
      <c r="T11" s="120">
        <v>2</v>
      </c>
      <c r="U11" s="331"/>
      <c r="V11" s="330"/>
      <c r="W11" s="320"/>
      <c r="X11" s="197"/>
      <c r="Y11" s="320">
        <v>1</v>
      </c>
      <c r="Z11" s="197">
        <v>1</v>
      </c>
      <c r="AA11" s="197">
        <v>1</v>
      </c>
      <c r="AB11" s="197">
        <v>1</v>
      </c>
      <c r="AC11" s="197">
        <v>1</v>
      </c>
      <c r="AD11" s="197"/>
      <c r="AE11" s="197"/>
      <c r="AF11" s="197"/>
      <c r="AG11" s="197"/>
      <c r="AH11" s="197"/>
      <c r="AI11" s="197"/>
      <c r="AJ11" s="321"/>
      <c r="AK11" s="321"/>
      <c r="AL11" s="321"/>
      <c r="AM11" s="321"/>
      <c r="AN11" s="321"/>
      <c r="AO11" s="321"/>
      <c r="AP11" s="321"/>
      <c r="AQ11" s="321"/>
      <c r="AR11" s="321"/>
      <c r="AS11" s="321"/>
      <c r="AT11" s="321"/>
      <c r="AU11" s="321"/>
      <c r="AV11" s="321"/>
      <c r="AW11" s="321"/>
      <c r="AX11" s="330"/>
    </row>
    <row r="12" spans="2:50" x14ac:dyDescent="0.25">
      <c r="B12" s="212">
        <v>109</v>
      </c>
      <c r="C12" s="203" t="s">
        <v>16</v>
      </c>
      <c r="D12" s="120">
        <v>43.7</v>
      </c>
      <c r="E12" s="320"/>
      <c r="F12" s="197"/>
      <c r="G12" s="321"/>
      <c r="H12" s="118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0"/>
      <c r="U12" s="331"/>
      <c r="V12" s="330"/>
      <c r="W12" s="320"/>
      <c r="X12" s="197"/>
      <c r="Y12" s="320"/>
      <c r="Z12" s="197"/>
      <c r="AA12" s="197"/>
      <c r="AB12" s="197"/>
      <c r="AC12" s="197"/>
      <c r="AD12" s="197">
        <v>3</v>
      </c>
      <c r="AE12" s="197"/>
      <c r="AF12" s="197"/>
      <c r="AG12" s="197"/>
      <c r="AH12" s="197"/>
      <c r="AI12" s="197"/>
      <c r="AJ12" s="321"/>
      <c r="AK12" s="321"/>
      <c r="AL12" s="321"/>
      <c r="AM12" s="321"/>
      <c r="AN12" s="321"/>
      <c r="AO12" s="321"/>
      <c r="AP12" s="321"/>
      <c r="AQ12" s="321"/>
      <c r="AR12" s="321"/>
      <c r="AS12" s="321"/>
      <c r="AT12" s="321"/>
      <c r="AU12" s="321"/>
      <c r="AV12" s="321"/>
      <c r="AW12" s="321"/>
      <c r="AX12" s="330"/>
    </row>
    <row r="13" spans="2:50" x14ac:dyDescent="0.25">
      <c r="B13" s="212">
        <v>110</v>
      </c>
      <c r="C13" s="203" t="s">
        <v>17</v>
      </c>
      <c r="D13" s="120">
        <v>4.8</v>
      </c>
      <c r="E13" s="320"/>
      <c r="F13" s="197"/>
      <c r="G13" s="321"/>
      <c r="H13" s="118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0"/>
      <c r="U13" s="331"/>
      <c r="V13" s="330"/>
      <c r="W13" s="320"/>
      <c r="X13" s="197"/>
      <c r="Y13" s="320"/>
      <c r="Z13" s="197"/>
      <c r="AA13" s="197"/>
      <c r="AB13" s="197"/>
      <c r="AC13" s="197"/>
      <c r="AD13" s="197"/>
      <c r="AE13" s="197"/>
      <c r="AF13" s="197"/>
      <c r="AG13" s="197"/>
      <c r="AH13" s="197"/>
      <c r="AI13" s="197"/>
      <c r="AJ13" s="321"/>
      <c r="AK13" s="321"/>
      <c r="AL13" s="321"/>
      <c r="AM13" s="321"/>
      <c r="AN13" s="321"/>
      <c r="AO13" s="321"/>
      <c r="AP13" s="321"/>
      <c r="AQ13" s="321"/>
      <c r="AR13" s="321"/>
      <c r="AS13" s="321"/>
      <c r="AT13" s="321"/>
      <c r="AU13" s="321"/>
      <c r="AV13" s="321"/>
      <c r="AW13" s="321"/>
      <c r="AX13" s="330"/>
    </row>
    <row r="14" spans="2:50" x14ac:dyDescent="0.25">
      <c r="B14" s="212">
        <v>111</v>
      </c>
      <c r="C14" s="203" t="s">
        <v>18</v>
      </c>
      <c r="D14" s="120">
        <v>5.8</v>
      </c>
      <c r="E14" s="320"/>
      <c r="F14" s="197"/>
      <c r="G14" s="321"/>
      <c r="H14" s="118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0"/>
      <c r="U14" s="331"/>
      <c r="V14" s="330"/>
      <c r="W14" s="320"/>
      <c r="X14" s="197"/>
      <c r="Y14" s="320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321"/>
      <c r="AK14" s="321"/>
      <c r="AL14" s="321"/>
      <c r="AM14" s="321"/>
      <c r="AN14" s="321"/>
      <c r="AO14" s="321"/>
      <c r="AP14" s="321"/>
      <c r="AQ14" s="321"/>
      <c r="AR14" s="321"/>
      <c r="AS14" s="321"/>
      <c r="AT14" s="321"/>
      <c r="AU14" s="321"/>
      <c r="AV14" s="321"/>
      <c r="AW14" s="321"/>
      <c r="AX14" s="330"/>
    </row>
    <row r="15" spans="2:50" x14ac:dyDescent="0.25">
      <c r="B15" s="212">
        <v>112</v>
      </c>
      <c r="C15" s="203" t="s">
        <v>19</v>
      </c>
      <c r="D15" s="120">
        <v>19.5</v>
      </c>
      <c r="E15" s="320"/>
      <c r="F15" s="197"/>
      <c r="G15" s="321"/>
      <c r="H15" s="118"/>
      <c r="I15" s="121"/>
      <c r="J15" s="121"/>
      <c r="K15" s="121">
        <v>1</v>
      </c>
      <c r="L15" s="121">
        <v>1</v>
      </c>
      <c r="M15" s="121"/>
      <c r="N15" s="121"/>
      <c r="O15" s="121"/>
      <c r="P15" s="121"/>
      <c r="Q15" s="121"/>
      <c r="R15" s="121"/>
      <c r="S15" s="121"/>
      <c r="T15" s="120">
        <v>1</v>
      </c>
      <c r="U15" s="331"/>
      <c r="V15" s="330"/>
      <c r="W15" s="320"/>
      <c r="X15" s="197"/>
      <c r="Y15" s="320"/>
      <c r="Z15" s="197"/>
      <c r="AA15" s="197"/>
      <c r="AB15" s="197"/>
      <c r="AC15" s="197"/>
      <c r="AD15" s="197">
        <v>1</v>
      </c>
      <c r="AE15" s="197"/>
      <c r="AF15" s="197"/>
      <c r="AG15" s="197">
        <v>1</v>
      </c>
      <c r="AH15" s="197">
        <v>2</v>
      </c>
      <c r="AI15" s="197">
        <v>1</v>
      </c>
      <c r="AJ15" s="321">
        <v>1</v>
      </c>
      <c r="AK15" s="321"/>
      <c r="AL15" s="321"/>
      <c r="AM15" s="321"/>
      <c r="AN15" s="321"/>
      <c r="AO15" s="321"/>
      <c r="AP15" s="321"/>
      <c r="AQ15" s="321"/>
      <c r="AR15" s="321"/>
      <c r="AS15" s="321"/>
      <c r="AT15" s="321"/>
      <c r="AU15" s="321"/>
      <c r="AV15" s="321"/>
      <c r="AW15" s="321"/>
      <c r="AX15" s="330"/>
    </row>
    <row r="16" spans="2:50" x14ac:dyDescent="0.25">
      <c r="B16" s="212">
        <v>113</v>
      </c>
      <c r="C16" s="203" t="s">
        <v>20</v>
      </c>
      <c r="D16" s="120">
        <v>6.3</v>
      </c>
      <c r="E16" s="320"/>
      <c r="F16" s="197"/>
      <c r="G16" s="321"/>
      <c r="H16" s="118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0"/>
      <c r="U16" s="331"/>
      <c r="V16" s="330"/>
      <c r="W16" s="320"/>
      <c r="X16" s="197"/>
      <c r="Y16" s="320"/>
      <c r="Z16" s="197"/>
      <c r="AA16" s="197"/>
      <c r="AB16" s="197"/>
      <c r="AC16" s="197"/>
      <c r="AD16" s="197"/>
      <c r="AE16" s="197"/>
      <c r="AF16" s="197"/>
      <c r="AG16" s="197"/>
      <c r="AH16" s="197"/>
      <c r="AI16" s="197">
        <v>1</v>
      </c>
      <c r="AJ16" s="321"/>
      <c r="AK16" s="321"/>
      <c r="AL16" s="321"/>
      <c r="AM16" s="321"/>
      <c r="AN16" s="321"/>
      <c r="AO16" s="321"/>
      <c r="AP16" s="321"/>
      <c r="AQ16" s="321"/>
      <c r="AR16" s="321"/>
      <c r="AS16" s="321"/>
      <c r="AT16" s="321"/>
      <c r="AU16" s="321"/>
      <c r="AV16" s="321"/>
      <c r="AW16" s="321"/>
      <c r="AX16" s="330"/>
    </row>
    <row r="17" spans="2:50" x14ac:dyDescent="0.25">
      <c r="B17" s="212">
        <v>114</v>
      </c>
      <c r="C17" s="203" t="s">
        <v>21</v>
      </c>
      <c r="D17" s="120">
        <v>3.6</v>
      </c>
      <c r="E17" s="320"/>
      <c r="F17" s="197"/>
      <c r="G17" s="321"/>
      <c r="H17" s="118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0"/>
      <c r="U17" s="331"/>
      <c r="V17" s="330"/>
      <c r="W17" s="320"/>
      <c r="X17" s="197"/>
      <c r="Y17" s="320"/>
      <c r="Z17" s="197"/>
      <c r="AA17" s="197"/>
      <c r="AB17" s="197"/>
      <c r="AC17" s="197"/>
      <c r="AD17" s="197"/>
      <c r="AE17" s="197"/>
      <c r="AF17" s="197"/>
      <c r="AG17" s="197"/>
      <c r="AH17" s="197"/>
      <c r="AI17" s="197"/>
      <c r="AJ17" s="321"/>
      <c r="AK17" s="321"/>
      <c r="AL17" s="321"/>
      <c r="AM17" s="321"/>
      <c r="AN17" s="321"/>
      <c r="AO17" s="321"/>
      <c r="AP17" s="321"/>
      <c r="AQ17" s="321"/>
      <c r="AR17" s="321"/>
      <c r="AS17" s="321"/>
      <c r="AT17" s="321"/>
      <c r="AU17" s="321"/>
      <c r="AV17" s="321"/>
      <c r="AW17" s="321"/>
      <c r="AX17" s="330"/>
    </row>
    <row r="18" spans="2:50" x14ac:dyDescent="0.25">
      <c r="B18" s="212">
        <v>115</v>
      </c>
      <c r="C18" s="203" t="s">
        <v>22</v>
      </c>
      <c r="D18" s="120">
        <v>12.7</v>
      </c>
      <c r="E18" s="320"/>
      <c r="F18" s="197"/>
      <c r="G18" s="321"/>
      <c r="H18" s="118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0"/>
      <c r="U18" s="331"/>
      <c r="V18" s="330"/>
      <c r="W18" s="320"/>
      <c r="X18" s="197"/>
      <c r="Y18" s="320"/>
      <c r="Z18" s="197"/>
      <c r="AA18" s="197"/>
      <c r="AB18" s="197"/>
      <c r="AC18" s="197"/>
      <c r="AD18" s="197"/>
      <c r="AE18" s="197"/>
      <c r="AF18" s="197"/>
      <c r="AG18" s="197"/>
      <c r="AH18" s="197"/>
      <c r="AI18" s="197"/>
      <c r="AJ18" s="321"/>
      <c r="AK18" s="321"/>
      <c r="AL18" s="321">
        <v>3</v>
      </c>
      <c r="AM18" s="321">
        <v>1</v>
      </c>
      <c r="AN18" s="321"/>
      <c r="AO18" s="321"/>
      <c r="AP18" s="321"/>
      <c r="AQ18" s="321"/>
      <c r="AR18" s="321"/>
      <c r="AS18" s="321"/>
      <c r="AT18" s="321"/>
      <c r="AU18" s="321"/>
      <c r="AV18" s="321"/>
      <c r="AW18" s="321"/>
      <c r="AX18" s="330"/>
    </row>
    <row r="19" spans="2:50" x14ac:dyDescent="0.25">
      <c r="B19" s="212">
        <v>116</v>
      </c>
      <c r="C19" s="203" t="s">
        <v>23</v>
      </c>
      <c r="D19" s="120">
        <v>2.7</v>
      </c>
      <c r="E19" s="320"/>
      <c r="F19" s="197"/>
      <c r="G19" s="321"/>
      <c r="H19" s="118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0"/>
      <c r="U19" s="331"/>
      <c r="V19" s="330"/>
      <c r="W19" s="320"/>
      <c r="X19" s="197"/>
      <c r="Y19" s="320"/>
      <c r="Z19" s="197"/>
      <c r="AA19" s="197"/>
      <c r="AB19" s="197"/>
      <c r="AC19" s="197"/>
      <c r="AD19" s="197"/>
      <c r="AE19" s="197"/>
      <c r="AF19" s="197"/>
      <c r="AG19" s="197"/>
      <c r="AH19" s="197"/>
      <c r="AI19" s="197"/>
      <c r="AJ19" s="321"/>
      <c r="AK19" s="321"/>
      <c r="AL19" s="321"/>
      <c r="AM19" s="321"/>
      <c r="AN19" s="321"/>
      <c r="AO19" s="321"/>
      <c r="AP19" s="321"/>
      <c r="AQ19" s="321"/>
      <c r="AR19" s="321"/>
      <c r="AS19" s="321"/>
      <c r="AT19" s="321"/>
      <c r="AU19" s="321"/>
      <c r="AV19" s="321"/>
      <c r="AW19" s="321"/>
      <c r="AX19" s="330"/>
    </row>
    <row r="20" spans="2:50" x14ac:dyDescent="0.25">
      <c r="B20" s="212">
        <v>117</v>
      </c>
      <c r="C20" s="203" t="s">
        <v>17</v>
      </c>
      <c r="D20" s="120">
        <v>2.5</v>
      </c>
      <c r="E20" s="320"/>
      <c r="F20" s="197"/>
      <c r="G20" s="321"/>
      <c r="H20" s="118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0"/>
      <c r="U20" s="331"/>
      <c r="V20" s="330"/>
      <c r="W20" s="320"/>
      <c r="X20" s="197"/>
      <c r="Y20" s="320"/>
      <c r="Z20" s="197"/>
      <c r="AA20" s="197"/>
      <c r="AB20" s="197"/>
      <c r="AC20" s="197"/>
      <c r="AD20" s="197"/>
      <c r="AE20" s="197"/>
      <c r="AF20" s="197"/>
      <c r="AG20" s="197"/>
      <c r="AH20" s="197"/>
      <c r="AI20" s="197"/>
      <c r="AJ20" s="321"/>
      <c r="AK20" s="321"/>
      <c r="AL20" s="321"/>
      <c r="AM20" s="321"/>
      <c r="AN20" s="321"/>
      <c r="AO20" s="321"/>
      <c r="AP20" s="321"/>
      <c r="AQ20" s="321"/>
      <c r="AR20" s="321"/>
      <c r="AS20" s="321"/>
      <c r="AT20" s="321"/>
      <c r="AU20" s="321"/>
      <c r="AV20" s="321"/>
      <c r="AW20" s="321"/>
      <c r="AX20" s="330"/>
    </row>
    <row r="21" spans="2:50" x14ac:dyDescent="0.25">
      <c r="B21" s="212">
        <v>118</v>
      </c>
      <c r="C21" s="203" t="s">
        <v>24</v>
      </c>
      <c r="D21" s="120">
        <v>8.1</v>
      </c>
      <c r="E21" s="320"/>
      <c r="F21" s="197"/>
      <c r="G21" s="321"/>
      <c r="H21" s="118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0"/>
      <c r="U21" s="331"/>
      <c r="V21" s="330"/>
      <c r="W21" s="320"/>
      <c r="X21" s="197"/>
      <c r="Y21" s="320"/>
      <c r="Z21" s="197"/>
      <c r="AA21" s="197"/>
      <c r="AB21" s="197"/>
      <c r="AC21" s="197"/>
      <c r="AD21" s="197"/>
      <c r="AE21" s="197"/>
      <c r="AF21" s="197"/>
      <c r="AG21" s="197"/>
      <c r="AH21" s="197"/>
      <c r="AI21" s="197"/>
      <c r="AJ21" s="321"/>
      <c r="AK21" s="321">
        <v>2</v>
      </c>
      <c r="AL21" s="321"/>
      <c r="AM21" s="321"/>
      <c r="AN21" s="321"/>
      <c r="AO21" s="321"/>
      <c r="AP21" s="321"/>
      <c r="AQ21" s="321"/>
      <c r="AR21" s="321"/>
      <c r="AS21" s="321"/>
      <c r="AT21" s="321"/>
      <c r="AU21" s="321"/>
      <c r="AV21" s="321"/>
      <c r="AW21" s="321"/>
      <c r="AX21" s="330"/>
    </row>
    <row r="22" spans="2:50" x14ac:dyDescent="0.25">
      <c r="B22" s="212">
        <v>119</v>
      </c>
      <c r="C22" s="203" t="s">
        <v>11</v>
      </c>
      <c r="D22" s="120">
        <v>24.5</v>
      </c>
      <c r="E22" s="320"/>
      <c r="F22" s="197"/>
      <c r="G22" s="321"/>
      <c r="H22" s="118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0"/>
      <c r="U22" s="331"/>
      <c r="V22" s="330"/>
      <c r="W22" s="320"/>
      <c r="X22" s="197"/>
      <c r="Y22" s="320"/>
      <c r="Z22" s="197"/>
      <c r="AA22" s="197"/>
      <c r="AB22" s="197"/>
      <c r="AC22" s="197"/>
      <c r="AD22" s="197"/>
      <c r="AE22" s="197"/>
      <c r="AF22" s="197"/>
      <c r="AG22" s="197"/>
      <c r="AH22" s="197"/>
      <c r="AI22" s="197"/>
      <c r="AJ22" s="321"/>
      <c r="AK22" s="321"/>
      <c r="AL22" s="321"/>
      <c r="AM22" s="321"/>
      <c r="AN22" s="321"/>
      <c r="AO22" s="321"/>
      <c r="AP22" s="321"/>
      <c r="AQ22" s="321"/>
      <c r="AR22" s="321"/>
      <c r="AS22" s="321"/>
      <c r="AT22" s="321"/>
      <c r="AU22" s="321"/>
      <c r="AV22" s="321"/>
      <c r="AW22" s="321"/>
      <c r="AX22" s="330"/>
    </row>
    <row r="23" spans="2:50" x14ac:dyDescent="0.25">
      <c r="B23" s="212">
        <v>120</v>
      </c>
      <c r="C23" s="203" t="s">
        <v>25</v>
      </c>
      <c r="D23" s="120">
        <v>14.9</v>
      </c>
      <c r="E23" s="320">
        <v>1</v>
      </c>
      <c r="F23" s="197">
        <v>2</v>
      </c>
      <c r="G23" s="321"/>
      <c r="H23" s="118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0"/>
      <c r="U23" s="331"/>
      <c r="V23" s="330"/>
      <c r="W23" s="320"/>
      <c r="X23" s="197"/>
      <c r="Y23" s="320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321"/>
      <c r="AK23" s="321"/>
      <c r="AL23" s="321"/>
      <c r="AM23" s="321"/>
      <c r="AN23" s="321"/>
      <c r="AO23" s="321"/>
      <c r="AP23" s="321"/>
      <c r="AQ23" s="321"/>
      <c r="AR23" s="321"/>
      <c r="AS23" s="321"/>
      <c r="AT23" s="321"/>
      <c r="AU23" s="321"/>
      <c r="AV23" s="321"/>
      <c r="AW23" s="321"/>
      <c r="AX23" s="330"/>
    </row>
    <row r="24" spans="2:50" x14ac:dyDescent="0.25">
      <c r="B24" s="212">
        <v>121</v>
      </c>
      <c r="C24" s="203" t="s">
        <v>8</v>
      </c>
      <c r="D24" s="120">
        <v>10.7</v>
      </c>
      <c r="E24" s="320"/>
      <c r="F24" s="197"/>
      <c r="G24" s="321"/>
      <c r="H24" s="118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0"/>
      <c r="U24" s="331"/>
      <c r="V24" s="330"/>
      <c r="W24" s="320"/>
      <c r="X24" s="197"/>
      <c r="Y24" s="320"/>
      <c r="Z24" s="197"/>
      <c r="AA24" s="197"/>
      <c r="AB24" s="197"/>
      <c r="AC24" s="197"/>
      <c r="AD24" s="197"/>
      <c r="AE24" s="197"/>
      <c r="AF24" s="197"/>
      <c r="AG24" s="197"/>
      <c r="AH24" s="197"/>
      <c r="AI24" s="197"/>
      <c r="AJ24" s="321"/>
      <c r="AK24" s="321"/>
      <c r="AL24" s="321"/>
      <c r="AM24" s="321"/>
      <c r="AN24" s="321"/>
      <c r="AO24" s="321"/>
      <c r="AP24" s="321"/>
      <c r="AQ24" s="321"/>
      <c r="AR24" s="321"/>
      <c r="AS24" s="321"/>
      <c r="AT24" s="321"/>
      <c r="AU24" s="321"/>
      <c r="AV24" s="321"/>
      <c r="AW24" s="321"/>
      <c r="AX24" s="330"/>
    </row>
    <row r="25" spans="2:50" x14ac:dyDescent="0.25">
      <c r="B25" s="212">
        <v>122</v>
      </c>
      <c r="C25" s="203" t="s">
        <v>26</v>
      </c>
      <c r="D25" s="120">
        <v>48.5</v>
      </c>
      <c r="E25" s="320"/>
      <c r="F25" s="197"/>
      <c r="G25" s="321"/>
      <c r="H25" s="118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0"/>
      <c r="U25" s="331">
        <v>4</v>
      </c>
      <c r="V25" s="330">
        <v>3</v>
      </c>
      <c r="W25" s="320"/>
      <c r="X25" s="197"/>
      <c r="Y25" s="320"/>
      <c r="Z25" s="197"/>
      <c r="AA25" s="197"/>
      <c r="AB25" s="197"/>
      <c r="AC25" s="197"/>
      <c r="AD25" s="197"/>
      <c r="AE25" s="197"/>
      <c r="AF25" s="197"/>
      <c r="AG25" s="197"/>
      <c r="AH25" s="197"/>
      <c r="AI25" s="197"/>
      <c r="AJ25" s="321"/>
      <c r="AK25" s="321"/>
      <c r="AL25" s="321"/>
      <c r="AM25" s="321"/>
      <c r="AN25" s="321"/>
      <c r="AO25" s="321"/>
      <c r="AP25" s="321"/>
      <c r="AQ25" s="321"/>
      <c r="AR25" s="321"/>
      <c r="AS25" s="321"/>
      <c r="AT25" s="321"/>
      <c r="AU25" s="321"/>
      <c r="AV25" s="321"/>
      <c r="AW25" s="321"/>
      <c r="AX25" s="330"/>
    </row>
    <row r="26" spans="2:50" x14ac:dyDescent="0.25">
      <c r="B26" s="212">
        <v>123</v>
      </c>
      <c r="C26" s="203" t="s">
        <v>27</v>
      </c>
      <c r="D26" s="120">
        <v>73.8</v>
      </c>
      <c r="E26" s="320"/>
      <c r="F26" s="197"/>
      <c r="G26" s="321"/>
      <c r="H26" s="118">
        <v>1</v>
      </c>
      <c r="I26" s="121">
        <v>6</v>
      </c>
      <c r="J26" s="121">
        <v>1</v>
      </c>
      <c r="K26" s="121"/>
      <c r="L26" s="121">
        <v>1</v>
      </c>
      <c r="M26" s="121">
        <v>4</v>
      </c>
      <c r="N26" s="121">
        <v>6</v>
      </c>
      <c r="O26" s="121">
        <v>2</v>
      </c>
      <c r="P26" s="121">
        <v>2</v>
      </c>
      <c r="Q26" s="121">
        <v>1</v>
      </c>
      <c r="R26" s="121">
        <v>24</v>
      </c>
      <c r="S26" s="121"/>
      <c r="T26" s="120">
        <v>1</v>
      </c>
      <c r="U26" s="331"/>
      <c r="V26" s="330"/>
      <c r="W26" s="320"/>
      <c r="X26" s="197"/>
      <c r="Y26" s="320"/>
      <c r="Z26" s="197"/>
      <c r="AA26" s="197"/>
      <c r="AB26" s="197"/>
      <c r="AC26" s="197"/>
      <c r="AD26" s="197"/>
      <c r="AE26" s="197"/>
      <c r="AF26" s="197"/>
      <c r="AG26" s="197"/>
      <c r="AH26" s="197"/>
      <c r="AI26" s="197"/>
      <c r="AJ26" s="321"/>
      <c r="AK26" s="321"/>
      <c r="AL26" s="321"/>
      <c r="AM26" s="321"/>
      <c r="AN26" s="321"/>
      <c r="AO26" s="321"/>
      <c r="AP26" s="321"/>
      <c r="AQ26" s="321"/>
      <c r="AR26" s="321"/>
      <c r="AS26" s="321"/>
      <c r="AT26" s="321"/>
      <c r="AU26" s="321"/>
      <c r="AV26" s="321"/>
      <c r="AW26" s="321"/>
      <c r="AX26" s="330"/>
    </row>
    <row r="27" spans="2:50" x14ac:dyDescent="0.25">
      <c r="B27" s="212">
        <v>124</v>
      </c>
      <c r="C27" s="203" t="s">
        <v>28</v>
      </c>
      <c r="D27" s="120">
        <v>22.8</v>
      </c>
      <c r="E27" s="320"/>
      <c r="F27" s="197"/>
      <c r="G27" s="321"/>
      <c r="H27" s="118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0"/>
      <c r="U27" s="331"/>
      <c r="V27" s="330"/>
      <c r="W27" s="320">
        <v>6</v>
      </c>
      <c r="X27" s="197">
        <v>1</v>
      </c>
      <c r="Y27" s="320"/>
      <c r="Z27" s="197"/>
      <c r="AA27" s="197"/>
      <c r="AB27" s="197"/>
      <c r="AC27" s="197"/>
      <c r="AD27" s="197"/>
      <c r="AE27" s="197"/>
      <c r="AF27" s="197"/>
      <c r="AG27" s="197"/>
      <c r="AH27" s="197"/>
      <c r="AI27" s="197"/>
      <c r="AJ27" s="321"/>
      <c r="AK27" s="321"/>
      <c r="AL27" s="321"/>
      <c r="AM27" s="321"/>
      <c r="AN27" s="321"/>
      <c r="AO27" s="321"/>
      <c r="AP27" s="321"/>
      <c r="AQ27" s="321"/>
      <c r="AR27" s="321"/>
      <c r="AS27" s="321"/>
      <c r="AT27" s="321"/>
      <c r="AU27" s="321"/>
      <c r="AV27" s="321"/>
      <c r="AW27" s="321"/>
      <c r="AX27" s="330"/>
    </row>
    <row r="28" spans="2:50" x14ac:dyDescent="0.25">
      <c r="B28" s="359">
        <v>125</v>
      </c>
      <c r="C28" s="215" t="s">
        <v>8</v>
      </c>
      <c r="D28" s="216">
        <v>10.7</v>
      </c>
      <c r="E28" s="118"/>
      <c r="F28" s="121"/>
      <c r="G28" s="212"/>
      <c r="H28" s="118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0"/>
      <c r="U28" s="332"/>
      <c r="V28" s="120"/>
      <c r="W28" s="118"/>
      <c r="X28" s="121"/>
      <c r="Y28" s="118"/>
      <c r="Z28" s="121"/>
      <c r="AA28" s="121"/>
      <c r="AB28" s="121"/>
      <c r="AC28" s="121"/>
      <c r="AD28" s="121"/>
      <c r="AE28" s="121"/>
      <c r="AF28" s="121"/>
      <c r="AG28" s="121"/>
      <c r="AH28" s="121"/>
      <c r="AI28" s="121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120"/>
    </row>
    <row r="29" spans="2:50" x14ac:dyDescent="0.25">
      <c r="B29" s="212">
        <v>126</v>
      </c>
      <c r="C29" s="203" t="s">
        <v>29</v>
      </c>
      <c r="D29" s="120">
        <v>50</v>
      </c>
      <c r="E29" s="118"/>
      <c r="F29" s="121"/>
      <c r="G29" s="212"/>
      <c r="H29" s="118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0"/>
      <c r="U29" s="331">
        <v>4</v>
      </c>
      <c r="V29" s="330">
        <v>3</v>
      </c>
      <c r="W29" s="118"/>
      <c r="X29" s="121"/>
      <c r="Y29" s="118"/>
      <c r="Z29" s="121"/>
      <c r="AA29" s="121"/>
      <c r="AB29" s="121"/>
      <c r="AC29" s="121"/>
      <c r="AD29" s="121"/>
      <c r="AE29" s="121"/>
      <c r="AF29" s="121"/>
      <c r="AG29" s="121"/>
      <c r="AH29" s="121"/>
      <c r="AI29" s="121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120"/>
    </row>
    <row r="30" spans="2:50" s="140" customFormat="1" x14ac:dyDescent="0.25">
      <c r="B30" s="212">
        <v>127</v>
      </c>
      <c r="C30" s="203" t="s">
        <v>30</v>
      </c>
      <c r="D30" s="120">
        <v>73.8</v>
      </c>
      <c r="E30" s="118"/>
      <c r="F30" s="121"/>
      <c r="G30" s="212"/>
      <c r="H30" s="118">
        <v>1</v>
      </c>
      <c r="I30" s="121">
        <v>6</v>
      </c>
      <c r="J30" s="121">
        <v>1</v>
      </c>
      <c r="K30" s="121"/>
      <c r="L30" s="121">
        <v>1</v>
      </c>
      <c r="M30" s="121">
        <v>4</v>
      </c>
      <c r="N30" s="121">
        <v>6</v>
      </c>
      <c r="O30" s="121">
        <v>3</v>
      </c>
      <c r="P30" s="121"/>
      <c r="Q30" s="121">
        <v>1</v>
      </c>
      <c r="R30" s="121">
        <v>24</v>
      </c>
      <c r="S30" s="121"/>
      <c r="T30" s="120">
        <v>1</v>
      </c>
      <c r="U30" s="332"/>
      <c r="V30" s="120"/>
      <c r="W30" s="118"/>
      <c r="X30" s="121"/>
      <c r="Y30" s="118"/>
      <c r="Z30" s="121"/>
      <c r="AA30" s="121"/>
      <c r="AB30" s="121"/>
      <c r="AC30" s="121"/>
      <c r="AD30" s="121"/>
      <c r="AE30" s="121"/>
      <c r="AF30" s="121"/>
      <c r="AG30" s="121"/>
      <c r="AH30" s="121"/>
      <c r="AI30" s="121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120"/>
    </row>
    <row r="31" spans="2:50" s="140" customFormat="1" x14ac:dyDescent="0.25">
      <c r="B31" s="212">
        <v>128</v>
      </c>
      <c r="C31" s="203" t="s">
        <v>31</v>
      </c>
      <c r="D31" s="120">
        <v>17.7</v>
      </c>
      <c r="E31" s="118"/>
      <c r="F31" s="121"/>
      <c r="G31" s="212"/>
      <c r="H31" s="118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0"/>
      <c r="U31" s="332"/>
      <c r="V31" s="120"/>
      <c r="W31" s="118">
        <v>6</v>
      </c>
      <c r="X31" s="121">
        <v>1</v>
      </c>
      <c r="Y31" s="118"/>
      <c r="Z31" s="121"/>
      <c r="AA31" s="121"/>
      <c r="AB31" s="121"/>
      <c r="AC31" s="121"/>
      <c r="AD31" s="121"/>
      <c r="AE31" s="121"/>
      <c r="AF31" s="121"/>
      <c r="AG31" s="121"/>
      <c r="AH31" s="121"/>
      <c r="AI31" s="121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120"/>
    </row>
    <row r="32" spans="2:50" x14ac:dyDescent="0.25">
      <c r="B32" s="212">
        <v>129</v>
      </c>
      <c r="C32" s="203" t="s">
        <v>32</v>
      </c>
      <c r="D32" s="120">
        <v>4.0999999999999996</v>
      </c>
      <c r="E32" s="118"/>
      <c r="F32" s="121"/>
      <c r="G32" s="212"/>
      <c r="H32" s="118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0"/>
      <c r="U32" s="332"/>
      <c r="V32" s="120"/>
      <c r="W32" s="118"/>
      <c r="X32" s="121"/>
      <c r="Y32" s="118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120"/>
    </row>
    <row r="33" spans="2:50" x14ac:dyDescent="0.25">
      <c r="B33" s="212">
        <v>130</v>
      </c>
      <c r="C33" s="203" t="s">
        <v>33</v>
      </c>
      <c r="D33" s="120">
        <v>31.9</v>
      </c>
      <c r="E33" s="118"/>
      <c r="F33" s="121"/>
      <c r="G33" s="212">
        <v>2</v>
      </c>
      <c r="H33" s="118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0"/>
      <c r="U33" s="332"/>
      <c r="V33" s="120"/>
      <c r="W33" s="118"/>
      <c r="X33" s="121"/>
      <c r="Y33" s="118"/>
      <c r="Z33" s="121"/>
      <c r="AA33" s="121"/>
      <c r="AB33" s="121"/>
      <c r="AC33" s="121"/>
      <c r="AD33" s="121"/>
      <c r="AE33" s="121"/>
      <c r="AF33" s="121"/>
      <c r="AG33" s="121"/>
      <c r="AH33" s="121"/>
      <c r="AI33" s="121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120"/>
    </row>
    <row r="34" spans="2:50" x14ac:dyDescent="0.25">
      <c r="B34" s="212">
        <v>131</v>
      </c>
      <c r="C34" s="203" t="s">
        <v>17</v>
      </c>
      <c r="D34" s="120">
        <v>1.3</v>
      </c>
      <c r="E34" s="118"/>
      <c r="F34" s="121"/>
      <c r="G34" s="212"/>
      <c r="H34" s="118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0"/>
      <c r="U34" s="332"/>
      <c r="V34" s="120"/>
      <c r="W34" s="118"/>
      <c r="X34" s="121"/>
      <c r="Y34" s="118"/>
      <c r="Z34" s="121"/>
      <c r="AA34" s="121"/>
      <c r="AB34" s="121"/>
      <c r="AC34" s="121"/>
      <c r="AD34" s="121"/>
      <c r="AE34" s="121"/>
      <c r="AF34" s="121"/>
      <c r="AG34" s="121"/>
      <c r="AH34" s="121"/>
      <c r="AI34" s="121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120"/>
    </row>
    <row r="35" spans="2:50" x14ac:dyDescent="0.25">
      <c r="B35" s="212">
        <v>132</v>
      </c>
      <c r="C35" s="203" t="s">
        <v>34</v>
      </c>
      <c r="D35" s="120">
        <v>4.2</v>
      </c>
      <c r="E35" s="118"/>
      <c r="F35" s="121"/>
      <c r="G35" s="212"/>
      <c r="H35" s="118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0"/>
      <c r="U35" s="332"/>
      <c r="V35" s="120"/>
      <c r="W35" s="118"/>
      <c r="X35" s="121"/>
      <c r="Y35" s="118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120"/>
    </row>
    <row r="36" spans="2:50" x14ac:dyDescent="0.25">
      <c r="B36" s="212">
        <v>133</v>
      </c>
      <c r="C36" s="203" t="s">
        <v>35</v>
      </c>
      <c r="D36" s="120">
        <v>17.3</v>
      </c>
      <c r="E36" s="118"/>
      <c r="F36" s="121"/>
      <c r="G36" s="212"/>
      <c r="H36" s="118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0"/>
      <c r="U36" s="332"/>
      <c r="V36" s="120"/>
      <c r="W36" s="118">
        <v>6</v>
      </c>
      <c r="X36" s="121">
        <v>1</v>
      </c>
      <c r="Y36" s="118"/>
      <c r="Z36" s="121"/>
      <c r="AA36" s="121"/>
      <c r="AB36" s="121"/>
      <c r="AC36" s="121"/>
      <c r="AD36" s="121"/>
      <c r="AE36" s="121"/>
      <c r="AF36" s="121"/>
      <c r="AG36" s="121"/>
      <c r="AH36" s="121"/>
      <c r="AI36" s="121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120"/>
    </row>
    <row r="37" spans="2:50" x14ac:dyDescent="0.25">
      <c r="B37" s="212">
        <v>134</v>
      </c>
      <c r="C37" s="203" t="s">
        <v>37</v>
      </c>
      <c r="D37" s="120">
        <v>73.8</v>
      </c>
      <c r="E37" s="118"/>
      <c r="F37" s="121"/>
      <c r="G37" s="212"/>
      <c r="H37" s="118">
        <v>1</v>
      </c>
      <c r="I37" s="121">
        <v>6</v>
      </c>
      <c r="J37" s="121">
        <v>1</v>
      </c>
      <c r="K37" s="121"/>
      <c r="L37" s="121">
        <v>1</v>
      </c>
      <c r="M37" s="121">
        <v>4</v>
      </c>
      <c r="N37" s="121">
        <v>6</v>
      </c>
      <c r="O37" s="121">
        <v>3</v>
      </c>
      <c r="P37" s="121"/>
      <c r="Q37" s="121">
        <v>1</v>
      </c>
      <c r="R37" s="121">
        <v>24</v>
      </c>
      <c r="S37" s="121"/>
      <c r="T37" s="120">
        <v>1</v>
      </c>
      <c r="U37" s="332"/>
      <c r="V37" s="120"/>
      <c r="W37" s="118"/>
      <c r="X37" s="121"/>
      <c r="Y37" s="118"/>
      <c r="Z37" s="121"/>
      <c r="AA37" s="121"/>
      <c r="AB37" s="121"/>
      <c r="AC37" s="121"/>
      <c r="AD37" s="121"/>
      <c r="AE37" s="121"/>
      <c r="AF37" s="121"/>
      <c r="AG37" s="121"/>
      <c r="AH37" s="121"/>
      <c r="AI37" s="121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120"/>
    </row>
    <row r="38" spans="2:50" x14ac:dyDescent="0.25">
      <c r="B38" s="212">
        <v>135</v>
      </c>
      <c r="C38" s="203" t="s">
        <v>36</v>
      </c>
      <c r="D38" s="120">
        <v>49.5</v>
      </c>
      <c r="E38" s="118"/>
      <c r="F38" s="121"/>
      <c r="G38" s="212"/>
      <c r="H38" s="118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0"/>
      <c r="U38" s="331">
        <v>4</v>
      </c>
      <c r="V38" s="330">
        <v>3</v>
      </c>
      <c r="W38" s="118"/>
      <c r="X38" s="121"/>
      <c r="Y38" s="118"/>
      <c r="Z38" s="121"/>
      <c r="AA38" s="121"/>
      <c r="AB38" s="121"/>
      <c r="AC38" s="121"/>
      <c r="AD38" s="121"/>
      <c r="AE38" s="121"/>
      <c r="AF38" s="121"/>
      <c r="AG38" s="121"/>
      <c r="AH38" s="121"/>
      <c r="AI38" s="121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120"/>
    </row>
    <row r="39" spans="2:50" x14ac:dyDescent="0.25">
      <c r="B39" s="212">
        <v>136</v>
      </c>
      <c r="C39" s="203" t="s">
        <v>36</v>
      </c>
      <c r="D39" s="120">
        <v>49.5</v>
      </c>
      <c r="E39" s="118"/>
      <c r="F39" s="121"/>
      <c r="G39" s="212"/>
      <c r="H39" s="203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207"/>
      <c r="U39" s="331">
        <v>4</v>
      </c>
      <c r="V39" s="330">
        <v>3</v>
      </c>
      <c r="W39" s="118"/>
      <c r="X39" s="121"/>
      <c r="Y39" s="118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120"/>
    </row>
    <row r="40" spans="2:50" x14ac:dyDescent="0.25">
      <c r="B40" s="212">
        <v>137</v>
      </c>
      <c r="C40" s="203" t="s">
        <v>39</v>
      </c>
      <c r="D40" s="120">
        <v>73.8</v>
      </c>
      <c r="E40" s="118"/>
      <c r="F40" s="121"/>
      <c r="G40" s="212"/>
      <c r="H40" s="118">
        <v>1</v>
      </c>
      <c r="I40" s="121">
        <v>6</v>
      </c>
      <c r="J40" s="121">
        <v>1</v>
      </c>
      <c r="K40" s="121"/>
      <c r="L40" s="121">
        <v>1</v>
      </c>
      <c r="M40" s="121">
        <v>4</v>
      </c>
      <c r="N40" s="121">
        <v>6</v>
      </c>
      <c r="O40" s="121">
        <v>3</v>
      </c>
      <c r="P40" s="121"/>
      <c r="Q40" s="121">
        <v>1</v>
      </c>
      <c r="R40" s="121">
        <v>24</v>
      </c>
      <c r="S40" s="121"/>
      <c r="T40" s="120">
        <v>1</v>
      </c>
      <c r="U40" s="332"/>
      <c r="V40" s="120"/>
      <c r="W40" s="118"/>
      <c r="X40" s="121"/>
      <c r="Y40" s="118"/>
      <c r="Z40" s="121"/>
      <c r="AA40" s="121"/>
      <c r="AB40" s="121"/>
      <c r="AC40" s="121"/>
      <c r="AD40" s="121"/>
      <c r="AE40" s="121"/>
      <c r="AF40" s="121"/>
      <c r="AG40" s="121"/>
      <c r="AH40" s="121"/>
      <c r="AI40" s="121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120"/>
    </row>
    <row r="41" spans="2:50" x14ac:dyDescent="0.25">
      <c r="B41" s="212">
        <v>138</v>
      </c>
      <c r="C41" s="203" t="s">
        <v>40</v>
      </c>
      <c r="D41" s="120">
        <v>17.3</v>
      </c>
      <c r="E41" s="118"/>
      <c r="F41" s="121"/>
      <c r="G41" s="212"/>
      <c r="H41" s="118"/>
      <c r="I41" s="121"/>
      <c r="J41" s="121"/>
      <c r="K41" s="121"/>
      <c r="L41" s="121"/>
      <c r="M41" s="121"/>
      <c r="N41" s="121"/>
      <c r="O41" s="121"/>
      <c r="P41" s="121"/>
      <c r="Q41" s="121"/>
      <c r="R41" s="121"/>
      <c r="S41" s="121"/>
      <c r="T41" s="120"/>
      <c r="U41" s="332"/>
      <c r="V41" s="120"/>
      <c r="W41" s="118">
        <v>6</v>
      </c>
      <c r="X41" s="121">
        <v>1</v>
      </c>
      <c r="Y41" s="118"/>
      <c r="Z41" s="121"/>
      <c r="AA41" s="121"/>
      <c r="AB41" s="121"/>
      <c r="AC41" s="121"/>
      <c r="AD41" s="121"/>
      <c r="AE41" s="121"/>
      <c r="AF41" s="121"/>
      <c r="AG41" s="121"/>
      <c r="AH41" s="121"/>
      <c r="AI41" s="121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120"/>
    </row>
    <row r="42" spans="2:50" x14ac:dyDescent="0.25">
      <c r="B42" s="212">
        <v>139</v>
      </c>
      <c r="C42" s="203" t="s">
        <v>41</v>
      </c>
      <c r="D42" s="120">
        <v>4.2</v>
      </c>
      <c r="E42" s="118"/>
      <c r="F42" s="121"/>
      <c r="G42" s="212"/>
      <c r="H42" s="118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121"/>
      <c r="T42" s="120"/>
      <c r="U42" s="332"/>
      <c r="V42" s="120"/>
      <c r="W42" s="118"/>
      <c r="X42" s="121"/>
      <c r="Y42" s="118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120"/>
    </row>
    <row r="43" spans="2:50" x14ac:dyDescent="0.25">
      <c r="B43" s="212">
        <v>140</v>
      </c>
      <c r="C43" s="203" t="s">
        <v>42</v>
      </c>
      <c r="D43" s="120">
        <v>31.9</v>
      </c>
      <c r="E43" s="118"/>
      <c r="F43" s="121"/>
      <c r="G43" s="212">
        <v>2</v>
      </c>
      <c r="H43" s="118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121"/>
      <c r="T43" s="120"/>
      <c r="U43" s="332"/>
      <c r="V43" s="120"/>
      <c r="W43" s="118"/>
      <c r="X43" s="121"/>
      <c r="Y43" s="118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120"/>
    </row>
    <row r="44" spans="2:50" x14ac:dyDescent="0.25">
      <c r="B44" s="212">
        <v>141</v>
      </c>
      <c r="C44" s="203" t="s">
        <v>17</v>
      </c>
      <c r="D44" s="120">
        <v>1.3</v>
      </c>
      <c r="E44" s="118"/>
      <c r="F44" s="121"/>
      <c r="G44" s="212"/>
      <c r="H44" s="118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0"/>
      <c r="U44" s="332"/>
      <c r="V44" s="120"/>
      <c r="W44" s="118"/>
      <c r="X44" s="121"/>
      <c r="Y44" s="118"/>
      <c r="Z44" s="121"/>
      <c r="AA44" s="121"/>
      <c r="AB44" s="121"/>
      <c r="AC44" s="121"/>
      <c r="AD44" s="121"/>
      <c r="AE44" s="121"/>
      <c r="AF44" s="121"/>
      <c r="AG44" s="121"/>
      <c r="AH44" s="121"/>
      <c r="AI44" s="121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120"/>
    </row>
    <row r="45" spans="2:50" x14ac:dyDescent="0.25">
      <c r="B45" s="212">
        <v>142</v>
      </c>
      <c r="C45" s="203" t="s">
        <v>43</v>
      </c>
      <c r="D45" s="120">
        <v>4.0999999999999996</v>
      </c>
      <c r="E45" s="118"/>
      <c r="F45" s="121"/>
      <c r="G45" s="212"/>
      <c r="H45" s="118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121"/>
      <c r="T45" s="120"/>
      <c r="U45" s="332"/>
      <c r="V45" s="120"/>
      <c r="W45" s="118"/>
      <c r="X45" s="121"/>
      <c r="Y45" s="118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120"/>
    </row>
    <row r="46" spans="2:50" x14ac:dyDescent="0.25">
      <c r="B46" s="212">
        <v>143</v>
      </c>
      <c r="C46" s="203" t="s">
        <v>44</v>
      </c>
      <c r="D46" s="120">
        <v>17.7</v>
      </c>
      <c r="E46" s="118"/>
      <c r="F46" s="121"/>
      <c r="G46" s="212"/>
      <c r="H46" s="118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0"/>
      <c r="U46" s="332"/>
      <c r="V46" s="120"/>
      <c r="W46" s="118">
        <v>6</v>
      </c>
      <c r="X46" s="121">
        <v>1</v>
      </c>
      <c r="Y46" s="118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120"/>
    </row>
    <row r="47" spans="2:50" x14ac:dyDescent="0.25">
      <c r="B47" s="212">
        <v>144</v>
      </c>
      <c r="C47" s="203" t="s">
        <v>45</v>
      </c>
      <c r="D47" s="120">
        <v>73.8</v>
      </c>
      <c r="E47" s="118"/>
      <c r="F47" s="121"/>
      <c r="G47" s="212"/>
      <c r="H47" s="118">
        <v>1</v>
      </c>
      <c r="I47" s="121">
        <v>6</v>
      </c>
      <c r="J47" s="121">
        <v>1</v>
      </c>
      <c r="K47" s="121"/>
      <c r="L47" s="121">
        <v>1</v>
      </c>
      <c r="M47" s="121">
        <v>4</v>
      </c>
      <c r="N47" s="121">
        <v>6</v>
      </c>
      <c r="O47" s="121">
        <v>3</v>
      </c>
      <c r="P47" s="121"/>
      <c r="Q47" s="121">
        <v>1</v>
      </c>
      <c r="R47" s="121">
        <v>24</v>
      </c>
      <c r="S47" s="121"/>
      <c r="T47" s="120">
        <v>1</v>
      </c>
      <c r="U47" s="332"/>
      <c r="V47" s="120"/>
      <c r="W47" s="118"/>
      <c r="X47" s="121"/>
      <c r="Y47" s="118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120"/>
    </row>
    <row r="48" spans="2:50" x14ac:dyDescent="0.25">
      <c r="B48" s="212">
        <v>145</v>
      </c>
      <c r="C48" s="203" t="s">
        <v>46</v>
      </c>
      <c r="D48" s="120">
        <v>50</v>
      </c>
      <c r="E48" s="118"/>
      <c r="F48" s="121"/>
      <c r="G48" s="212"/>
      <c r="H48" s="118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0"/>
      <c r="U48" s="331">
        <v>4</v>
      </c>
      <c r="V48" s="330">
        <v>3</v>
      </c>
      <c r="W48" s="118"/>
      <c r="X48" s="121"/>
      <c r="Y48" s="118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120"/>
    </row>
    <row r="49" spans="2:50" x14ac:dyDescent="0.25">
      <c r="B49" s="212">
        <v>146</v>
      </c>
      <c r="C49" s="203" t="s">
        <v>47</v>
      </c>
      <c r="D49" s="120">
        <v>73.8</v>
      </c>
      <c r="E49" s="118"/>
      <c r="F49" s="121"/>
      <c r="G49" s="212"/>
      <c r="H49" s="118">
        <v>1</v>
      </c>
      <c r="I49" s="121">
        <v>6</v>
      </c>
      <c r="J49" s="121">
        <v>1</v>
      </c>
      <c r="K49" s="121"/>
      <c r="L49" s="121">
        <v>1</v>
      </c>
      <c r="M49" s="121">
        <v>4</v>
      </c>
      <c r="N49" s="121">
        <v>6</v>
      </c>
      <c r="O49" s="121">
        <v>2</v>
      </c>
      <c r="P49" s="121">
        <v>2</v>
      </c>
      <c r="Q49" s="121">
        <v>1</v>
      </c>
      <c r="R49" s="121">
        <v>24</v>
      </c>
      <c r="S49" s="121"/>
      <c r="T49" s="120">
        <v>1</v>
      </c>
      <c r="U49" s="332"/>
      <c r="V49" s="120"/>
      <c r="W49" s="118"/>
      <c r="X49" s="121"/>
      <c r="Y49" s="118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120"/>
    </row>
    <row r="50" spans="2:50" x14ac:dyDescent="0.25">
      <c r="B50" s="212">
        <v>147</v>
      </c>
      <c r="C50" s="203" t="s">
        <v>48</v>
      </c>
      <c r="D50" s="120">
        <v>22.7</v>
      </c>
      <c r="E50" s="118"/>
      <c r="F50" s="121"/>
      <c r="G50" s="212"/>
      <c r="H50" s="118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0"/>
      <c r="U50" s="332"/>
      <c r="V50" s="120"/>
      <c r="W50" s="118">
        <v>6</v>
      </c>
      <c r="X50" s="121">
        <v>1</v>
      </c>
      <c r="Y50" s="118"/>
      <c r="Z50" s="121"/>
      <c r="AA50" s="121"/>
      <c r="AB50" s="121"/>
      <c r="AC50" s="121"/>
      <c r="AD50" s="121"/>
      <c r="AE50" s="121"/>
      <c r="AF50" s="121"/>
      <c r="AG50" s="121"/>
      <c r="AH50" s="121"/>
      <c r="AI50" s="121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120"/>
    </row>
    <row r="51" spans="2:50" x14ac:dyDescent="0.25">
      <c r="B51" s="212">
        <v>148</v>
      </c>
      <c r="C51" s="203" t="s">
        <v>49</v>
      </c>
      <c r="D51" s="120">
        <v>48.5</v>
      </c>
      <c r="E51" s="118"/>
      <c r="F51" s="121"/>
      <c r="G51" s="212"/>
      <c r="H51" s="118"/>
      <c r="I51" s="121"/>
      <c r="J51" s="121"/>
      <c r="K51" s="121"/>
      <c r="L51" s="121"/>
      <c r="M51" s="121"/>
      <c r="N51" s="121"/>
      <c r="O51" s="121"/>
      <c r="P51" s="121"/>
      <c r="Q51" s="121"/>
      <c r="R51" s="121"/>
      <c r="S51" s="121"/>
      <c r="T51" s="120"/>
      <c r="U51" s="331">
        <v>4</v>
      </c>
      <c r="V51" s="330">
        <v>3</v>
      </c>
      <c r="W51" s="118"/>
      <c r="X51" s="121"/>
      <c r="Y51" s="118"/>
      <c r="Z51" s="121"/>
      <c r="AA51" s="121"/>
      <c r="AB51" s="121"/>
      <c r="AC51" s="121"/>
      <c r="AD51" s="121"/>
      <c r="AE51" s="121"/>
      <c r="AF51" s="121"/>
      <c r="AG51" s="121"/>
      <c r="AH51" s="121"/>
      <c r="AI51" s="121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120"/>
    </row>
    <row r="52" spans="2:50" x14ac:dyDescent="0.25">
      <c r="B52" s="212">
        <v>149</v>
      </c>
      <c r="C52" s="203" t="s">
        <v>50</v>
      </c>
      <c r="D52" s="120">
        <v>14.9</v>
      </c>
      <c r="E52" s="118">
        <v>1</v>
      </c>
      <c r="F52" s="121">
        <v>2</v>
      </c>
      <c r="G52" s="212"/>
      <c r="H52" s="118"/>
      <c r="I52" s="121"/>
      <c r="J52" s="121"/>
      <c r="K52" s="121"/>
      <c r="L52" s="121"/>
      <c r="M52" s="121"/>
      <c r="N52" s="121"/>
      <c r="O52" s="121"/>
      <c r="P52" s="121"/>
      <c r="Q52" s="121"/>
      <c r="R52" s="121"/>
      <c r="S52" s="121"/>
      <c r="T52" s="120"/>
      <c r="U52" s="332"/>
      <c r="V52" s="120"/>
      <c r="W52" s="118"/>
      <c r="X52" s="121"/>
      <c r="Y52" s="118"/>
      <c r="Z52" s="121"/>
      <c r="AA52" s="121"/>
      <c r="AB52" s="121"/>
      <c r="AC52" s="121"/>
      <c r="AD52" s="121"/>
      <c r="AE52" s="121"/>
      <c r="AF52" s="121"/>
      <c r="AG52" s="121"/>
      <c r="AH52" s="121"/>
      <c r="AI52" s="121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120"/>
    </row>
    <row r="53" spans="2:50" x14ac:dyDescent="0.25">
      <c r="B53" s="212">
        <v>150</v>
      </c>
      <c r="C53" s="203" t="s">
        <v>11</v>
      </c>
      <c r="D53" s="120">
        <v>24.4</v>
      </c>
      <c r="E53" s="118"/>
      <c r="F53" s="121"/>
      <c r="G53" s="212"/>
      <c r="H53" s="118"/>
      <c r="I53" s="121"/>
      <c r="J53" s="121"/>
      <c r="K53" s="121"/>
      <c r="L53" s="121"/>
      <c r="M53" s="121"/>
      <c r="N53" s="121"/>
      <c r="O53" s="121"/>
      <c r="P53" s="121"/>
      <c r="Q53" s="121"/>
      <c r="R53" s="121"/>
      <c r="S53" s="121"/>
      <c r="T53" s="120"/>
      <c r="U53" s="332"/>
      <c r="V53" s="120"/>
      <c r="W53" s="118"/>
      <c r="X53" s="121"/>
      <c r="Y53" s="118"/>
      <c r="Z53" s="121"/>
      <c r="AA53" s="121"/>
      <c r="AB53" s="121"/>
      <c r="AC53" s="121"/>
      <c r="AD53" s="121"/>
      <c r="AE53" s="121"/>
      <c r="AF53" s="121"/>
      <c r="AG53" s="121"/>
      <c r="AH53" s="121"/>
      <c r="AI53" s="121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120"/>
    </row>
    <row r="54" spans="2:50" x14ac:dyDescent="0.25">
      <c r="B54" s="212">
        <v>151</v>
      </c>
      <c r="C54" s="203" t="s">
        <v>16</v>
      </c>
      <c r="D54" s="120">
        <v>36.6</v>
      </c>
      <c r="E54" s="118"/>
      <c r="F54" s="121"/>
      <c r="G54" s="212"/>
      <c r="H54" s="118"/>
      <c r="I54" s="121"/>
      <c r="J54" s="121"/>
      <c r="K54" s="121"/>
      <c r="L54" s="121"/>
      <c r="M54" s="121"/>
      <c r="N54" s="121"/>
      <c r="O54" s="121"/>
      <c r="P54" s="121"/>
      <c r="Q54" s="121"/>
      <c r="R54" s="121"/>
      <c r="S54" s="121"/>
      <c r="T54" s="120"/>
      <c r="U54" s="332"/>
      <c r="V54" s="120"/>
      <c r="W54" s="118"/>
      <c r="X54" s="121"/>
      <c r="Y54" s="118"/>
      <c r="Z54" s="121"/>
      <c r="AA54" s="121"/>
      <c r="AB54" s="121"/>
      <c r="AC54" s="121"/>
      <c r="AD54" s="121"/>
      <c r="AE54" s="121"/>
      <c r="AF54" s="121"/>
      <c r="AG54" s="121"/>
      <c r="AH54" s="121"/>
      <c r="AI54" s="121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120"/>
    </row>
    <row r="55" spans="2:50" x14ac:dyDescent="0.25">
      <c r="B55" s="212">
        <v>152</v>
      </c>
      <c r="C55" s="203" t="s">
        <v>51</v>
      </c>
      <c r="D55" s="120">
        <v>3.6</v>
      </c>
      <c r="E55" s="118"/>
      <c r="F55" s="121"/>
      <c r="G55" s="212"/>
      <c r="H55" s="118"/>
      <c r="I55" s="121"/>
      <c r="J55" s="121"/>
      <c r="K55" s="121"/>
      <c r="L55" s="121"/>
      <c r="M55" s="121"/>
      <c r="N55" s="121"/>
      <c r="O55" s="121"/>
      <c r="P55" s="121"/>
      <c r="Q55" s="121"/>
      <c r="R55" s="121"/>
      <c r="S55" s="121"/>
      <c r="T55" s="120"/>
      <c r="U55" s="332"/>
      <c r="V55" s="120"/>
      <c r="W55" s="118"/>
      <c r="X55" s="121"/>
      <c r="Y55" s="118"/>
      <c r="Z55" s="121"/>
      <c r="AA55" s="121"/>
      <c r="AB55" s="121"/>
      <c r="AC55" s="121"/>
      <c r="AD55" s="121"/>
      <c r="AE55" s="121"/>
      <c r="AF55" s="121"/>
      <c r="AG55" s="121"/>
      <c r="AH55" s="121"/>
      <c r="AI55" s="121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120"/>
    </row>
    <row r="56" spans="2:50" x14ac:dyDescent="0.25">
      <c r="B56" s="212">
        <v>153</v>
      </c>
      <c r="C56" s="203" t="s">
        <v>52</v>
      </c>
      <c r="D56" s="120">
        <v>4</v>
      </c>
      <c r="E56" s="118"/>
      <c r="F56" s="121"/>
      <c r="G56" s="212"/>
      <c r="H56" s="118"/>
      <c r="I56" s="121"/>
      <c r="J56" s="121"/>
      <c r="K56" s="121"/>
      <c r="L56" s="121"/>
      <c r="M56" s="121"/>
      <c r="N56" s="121"/>
      <c r="O56" s="121"/>
      <c r="P56" s="121"/>
      <c r="Q56" s="121"/>
      <c r="R56" s="121"/>
      <c r="S56" s="121"/>
      <c r="T56" s="120"/>
      <c r="U56" s="332"/>
      <c r="V56" s="120"/>
      <c r="W56" s="118"/>
      <c r="X56" s="121"/>
      <c r="Y56" s="118"/>
      <c r="Z56" s="121"/>
      <c r="AA56" s="121"/>
      <c r="AB56" s="121"/>
      <c r="AC56" s="121"/>
      <c r="AD56" s="121"/>
      <c r="AE56" s="121"/>
      <c r="AF56" s="121"/>
      <c r="AG56" s="121"/>
      <c r="AH56" s="121"/>
      <c r="AI56" s="121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120"/>
    </row>
    <row r="57" spans="2:50" x14ac:dyDescent="0.25">
      <c r="B57" s="212">
        <v>154</v>
      </c>
      <c r="C57" s="203" t="s">
        <v>53</v>
      </c>
      <c r="D57" s="120">
        <v>15.6</v>
      </c>
      <c r="E57" s="118"/>
      <c r="F57" s="121"/>
      <c r="G57" s="212"/>
      <c r="H57" s="118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0"/>
      <c r="U57" s="332"/>
      <c r="V57" s="120"/>
      <c r="W57" s="118"/>
      <c r="X57" s="121"/>
      <c r="Y57" s="118"/>
      <c r="Z57" s="121"/>
      <c r="AA57" s="121"/>
      <c r="AB57" s="121"/>
      <c r="AC57" s="121"/>
      <c r="AD57" s="121"/>
      <c r="AE57" s="121"/>
      <c r="AF57" s="121"/>
      <c r="AG57" s="121"/>
      <c r="AH57" s="121"/>
      <c r="AI57" s="121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120"/>
    </row>
    <row r="58" spans="2:50" x14ac:dyDescent="0.25">
      <c r="B58" s="212">
        <v>155</v>
      </c>
      <c r="C58" s="203" t="s">
        <v>16</v>
      </c>
      <c r="D58" s="120">
        <v>12.1</v>
      </c>
      <c r="E58" s="118"/>
      <c r="F58" s="121"/>
      <c r="G58" s="212"/>
      <c r="H58" s="118"/>
      <c r="I58" s="121"/>
      <c r="J58" s="121"/>
      <c r="K58" s="121"/>
      <c r="L58" s="121"/>
      <c r="M58" s="121"/>
      <c r="N58" s="121"/>
      <c r="O58" s="121"/>
      <c r="P58" s="121"/>
      <c r="Q58" s="121"/>
      <c r="R58" s="121"/>
      <c r="S58" s="121"/>
      <c r="T58" s="120"/>
      <c r="U58" s="332"/>
      <c r="V58" s="120"/>
      <c r="W58" s="118"/>
      <c r="X58" s="121"/>
      <c r="Y58" s="118"/>
      <c r="Z58" s="121"/>
      <c r="AA58" s="121"/>
      <c r="AB58" s="121"/>
      <c r="AC58" s="121"/>
      <c r="AD58" s="121"/>
      <c r="AE58" s="121"/>
      <c r="AF58" s="121"/>
      <c r="AG58" s="121"/>
      <c r="AH58" s="121"/>
      <c r="AI58" s="121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120"/>
    </row>
    <row r="59" spans="2:50" x14ac:dyDescent="0.25">
      <c r="B59" s="212">
        <v>156</v>
      </c>
      <c r="C59" s="203" t="s">
        <v>54</v>
      </c>
      <c r="D59" s="120">
        <v>5.0999999999999996</v>
      </c>
      <c r="E59" s="118"/>
      <c r="F59" s="121"/>
      <c r="G59" s="212"/>
      <c r="H59" s="118"/>
      <c r="I59" s="121"/>
      <c r="J59" s="121"/>
      <c r="K59" s="121"/>
      <c r="L59" s="121"/>
      <c r="M59" s="121"/>
      <c r="N59" s="121"/>
      <c r="O59" s="121"/>
      <c r="P59" s="121"/>
      <c r="Q59" s="121"/>
      <c r="R59" s="121"/>
      <c r="S59" s="121"/>
      <c r="T59" s="120"/>
      <c r="U59" s="332"/>
      <c r="V59" s="120"/>
      <c r="W59" s="118"/>
      <c r="X59" s="121"/>
      <c r="Y59" s="118"/>
      <c r="Z59" s="121"/>
      <c r="AA59" s="121"/>
      <c r="AB59" s="121"/>
      <c r="AC59" s="121"/>
      <c r="AD59" s="121"/>
      <c r="AE59" s="121"/>
      <c r="AF59" s="121">
        <v>1</v>
      </c>
      <c r="AG59" s="121"/>
      <c r="AH59" s="121"/>
      <c r="AI59" s="121"/>
      <c r="AJ59" s="212"/>
      <c r="AK59" s="212"/>
      <c r="AL59" s="212"/>
      <c r="AM59" s="212"/>
      <c r="AN59" s="212"/>
      <c r="AO59" s="212">
        <v>1</v>
      </c>
      <c r="AP59" s="212">
        <v>2</v>
      </c>
      <c r="AQ59" s="212"/>
      <c r="AR59" s="212"/>
      <c r="AS59" s="212"/>
      <c r="AT59" s="212"/>
      <c r="AU59" s="212"/>
      <c r="AV59" s="212"/>
      <c r="AW59" s="212"/>
      <c r="AX59" s="120"/>
    </row>
    <row r="60" spans="2:50" x14ac:dyDescent="0.25">
      <c r="B60" s="212">
        <v>157</v>
      </c>
      <c r="C60" s="203" t="s">
        <v>22</v>
      </c>
      <c r="D60" s="120">
        <v>3.9</v>
      </c>
      <c r="E60" s="118"/>
      <c r="F60" s="121"/>
      <c r="G60" s="212"/>
      <c r="H60" s="118"/>
      <c r="I60" s="121"/>
      <c r="J60" s="121"/>
      <c r="K60" s="121"/>
      <c r="L60" s="121"/>
      <c r="M60" s="121"/>
      <c r="N60" s="121"/>
      <c r="O60" s="121"/>
      <c r="P60" s="121"/>
      <c r="Q60" s="121"/>
      <c r="R60" s="121"/>
      <c r="S60" s="121"/>
      <c r="T60" s="120"/>
      <c r="U60" s="332"/>
      <c r="V60" s="120"/>
      <c r="W60" s="118"/>
      <c r="X60" s="121"/>
      <c r="Y60" s="118"/>
      <c r="Z60" s="121"/>
      <c r="AA60" s="121"/>
      <c r="AB60" s="121"/>
      <c r="AC60" s="121"/>
      <c r="AD60" s="121"/>
      <c r="AE60" s="121"/>
      <c r="AF60" s="121"/>
      <c r="AG60" s="121"/>
      <c r="AH60" s="121"/>
      <c r="AI60" s="121"/>
      <c r="AJ60" s="212"/>
      <c r="AK60" s="212"/>
      <c r="AL60" s="212">
        <v>1</v>
      </c>
      <c r="AM60" s="212">
        <v>1</v>
      </c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120"/>
    </row>
    <row r="61" spans="2:50" x14ac:dyDescent="0.25">
      <c r="B61" s="212">
        <v>158</v>
      </c>
      <c r="C61" s="203" t="s">
        <v>55</v>
      </c>
      <c r="D61" s="120">
        <v>2</v>
      </c>
      <c r="E61" s="118"/>
      <c r="F61" s="121"/>
      <c r="G61" s="212"/>
      <c r="H61" s="118"/>
      <c r="I61" s="121"/>
      <c r="J61" s="121"/>
      <c r="K61" s="121"/>
      <c r="L61" s="121"/>
      <c r="M61" s="121"/>
      <c r="N61" s="121"/>
      <c r="O61" s="121"/>
      <c r="P61" s="121"/>
      <c r="Q61" s="121"/>
      <c r="R61" s="121"/>
      <c r="S61" s="121"/>
      <c r="T61" s="120"/>
      <c r="U61" s="332"/>
      <c r="V61" s="120"/>
      <c r="W61" s="118"/>
      <c r="X61" s="121"/>
      <c r="Y61" s="118"/>
      <c r="Z61" s="121"/>
      <c r="AA61" s="121"/>
      <c r="AB61" s="121"/>
      <c r="AC61" s="121"/>
      <c r="AD61" s="121"/>
      <c r="AE61" s="121"/>
      <c r="AF61" s="121"/>
      <c r="AG61" s="121"/>
      <c r="AH61" s="121"/>
      <c r="AI61" s="121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120"/>
    </row>
    <row r="62" spans="2:50" x14ac:dyDescent="0.25">
      <c r="B62" s="212">
        <v>159</v>
      </c>
      <c r="C62" s="203" t="s">
        <v>17</v>
      </c>
      <c r="D62" s="120">
        <v>2.2999999999999998</v>
      </c>
      <c r="E62" s="118"/>
      <c r="F62" s="121"/>
      <c r="G62" s="212"/>
      <c r="H62" s="118"/>
      <c r="I62" s="121"/>
      <c r="J62" s="121"/>
      <c r="K62" s="121"/>
      <c r="L62" s="121"/>
      <c r="M62" s="121"/>
      <c r="N62" s="121"/>
      <c r="O62" s="121"/>
      <c r="P62" s="121"/>
      <c r="Q62" s="121"/>
      <c r="R62" s="121"/>
      <c r="S62" s="121"/>
      <c r="T62" s="120"/>
      <c r="U62" s="332"/>
      <c r="V62" s="120"/>
      <c r="W62" s="118"/>
      <c r="X62" s="121"/>
      <c r="Y62" s="118"/>
      <c r="Z62" s="121"/>
      <c r="AA62" s="121"/>
      <c r="AB62" s="121"/>
      <c r="AC62" s="121"/>
      <c r="AD62" s="121"/>
      <c r="AE62" s="121"/>
      <c r="AF62" s="121"/>
      <c r="AG62" s="121"/>
      <c r="AH62" s="121"/>
      <c r="AI62" s="121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120"/>
    </row>
    <row r="63" spans="2:50" x14ac:dyDescent="0.25">
      <c r="B63" s="212">
        <v>160</v>
      </c>
      <c r="C63" s="203" t="s">
        <v>16</v>
      </c>
      <c r="D63" s="120">
        <v>4.5</v>
      </c>
      <c r="E63" s="118"/>
      <c r="F63" s="121"/>
      <c r="G63" s="212"/>
      <c r="H63" s="118"/>
      <c r="I63" s="121"/>
      <c r="J63" s="121"/>
      <c r="K63" s="121"/>
      <c r="L63" s="121"/>
      <c r="M63" s="121"/>
      <c r="N63" s="121"/>
      <c r="O63" s="121"/>
      <c r="P63" s="121"/>
      <c r="Q63" s="121"/>
      <c r="R63" s="121"/>
      <c r="S63" s="121"/>
      <c r="T63" s="120"/>
      <c r="U63" s="332"/>
      <c r="V63" s="120"/>
      <c r="W63" s="118"/>
      <c r="X63" s="121"/>
      <c r="Y63" s="118"/>
      <c r="Z63" s="121"/>
      <c r="AA63" s="121"/>
      <c r="AB63" s="121"/>
      <c r="AC63" s="121"/>
      <c r="AD63" s="121"/>
      <c r="AE63" s="121"/>
      <c r="AF63" s="121"/>
      <c r="AG63" s="121"/>
      <c r="AH63" s="121"/>
      <c r="AI63" s="121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120"/>
    </row>
    <row r="64" spans="2:50" x14ac:dyDescent="0.25">
      <c r="B64" s="212">
        <v>161</v>
      </c>
      <c r="C64" s="203" t="s">
        <v>56</v>
      </c>
      <c r="D64" s="120">
        <v>7</v>
      </c>
      <c r="E64" s="118"/>
      <c r="F64" s="121"/>
      <c r="G64" s="212"/>
      <c r="H64" s="118"/>
      <c r="I64" s="121"/>
      <c r="J64" s="121"/>
      <c r="K64" s="121"/>
      <c r="L64" s="121"/>
      <c r="M64" s="121"/>
      <c r="N64" s="121"/>
      <c r="O64" s="121"/>
      <c r="P64" s="121"/>
      <c r="Q64" s="121"/>
      <c r="R64" s="121"/>
      <c r="S64" s="121"/>
      <c r="T64" s="120"/>
      <c r="U64" s="332"/>
      <c r="V64" s="120"/>
      <c r="W64" s="118"/>
      <c r="X64" s="121"/>
      <c r="Y64" s="118"/>
      <c r="Z64" s="121"/>
      <c r="AA64" s="121"/>
      <c r="AB64" s="121"/>
      <c r="AC64" s="121"/>
      <c r="AD64" s="121"/>
      <c r="AE64" s="121"/>
      <c r="AF64" s="121"/>
      <c r="AG64" s="121"/>
      <c r="AH64" s="121"/>
      <c r="AI64" s="121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120"/>
    </row>
    <row r="65" spans="2:50" x14ac:dyDescent="0.25">
      <c r="B65" s="212">
        <v>163</v>
      </c>
      <c r="C65" s="203" t="s">
        <v>57</v>
      </c>
      <c r="D65" s="120">
        <v>4.4000000000000004</v>
      </c>
      <c r="E65" s="118"/>
      <c r="F65" s="121"/>
      <c r="G65" s="212"/>
      <c r="H65" s="118"/>
      <c r="I65" s="121"/>
      <c r="J65" s="121"/>
      <c r="K65" s="121"/>
      <c r="L65" s="121"/>
      <c r="M65" s="121"/>
      <c r="N65" s="121"/>
      <c r="O65" s="121"/>
      <c r="P65" s="121"/>
      <c r="Q65" s="121"/>
      <c r="R65" s="121"/>
      <c r="S65" s="121"/>
      <c r="T65" s="120"/>
      <c r="U65" s="332"/>
      <c r="V65" s="120"/>
      <c r="W65" s="118"/>
      <c r="X65" s="121"/>
      <c r="Y65" s="118"/>
      <c r="Z65" s="121"/>
      <c r="AA65" s="121"/>
      <c r="AB65" s="121"/>
      <c r="AC65" s="121"/>
      <c r="AD65" s="121"/>
      <c r="AE65" s="121"/>
      <c r="AF65" s="121"/>
      <c r="AG65" s="121"/>
      <c r="AH65" s="121"/>
      <c r="AI65" s="121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120"/>
    </row>
    <row r="66" spans="2:50" x14ac:dyDescent="0.25">
      <c r="B66" s="212">
        <v>165</v>
      </c>
      <c r="C66" s="203" t="s">
        <v>58</v>
      </c>
      <c r="D66" s="120">
        <v>5.3</v>
      </c>
      <c r="E66" s="118"/>
      <c r="F66" s="121"/>
      <c r="G66" s="212"/>
      <c r="H66" s="118"/>
      <c r="I66" s="121"/>
      <c r="J66" s="121"/>
      <c r="K66" s="121"/>
      <c r="L66" s="121"/>
      <c r="M66" s="121"/>
      <c r="N66" s="121"/>
      <c r="O66" s="121"/>
      <c r="P66" s="121"/>
      <c r="Q66" s="121"/>
      <c r="R66" s="121"/>
      <c r="S66" s="121"/>
      <c r="T66" s="120"/>
      <c r="U66" s="332"/>
      <c r="V66" s="120"/>
      <c r="W66" s="118"/>
      <c r="X66" s="121"/>
      <c r="Y66" s="118"/>
      <c r="Z66" s="121"/>
      <c r="AA66" s="121"/>
      <c r="AB66" s="121"/>
      <c r="AC66" s="121"/>
      <c r="AD66" s="121"/>
      <c r="AE66" s="121"/>
      <c r="AF66" s="121"/>
      <c r="AG66" s="121"/>
      <c r="AH66" s="121"/>
      <c r="AI66" s="121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120"/>
    </row>
    <row r="67" spans="2:50" x14ac:dyDescent="0.25">
      <c r="B67" s="212">
        <v>166</v>
      </c>
      <c r="C67" s="203" t="s">
        <v>59</v>
      </c>
      <c r="D67" s="120">
        <v>4.4000000000000004</v>
      </c>
      <c r="E67" s="118"/>
      <c r="F67" s="121"/>
      <c r="G67" s="212"/>
      <c r="H67" s="118"/>
      <c r="I67" s="121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0"/>
      <c r="U67" s="332"/>
      <c r="V67" s="120"/>
      <c r="W67" s="118"/>
      <c r="X67" s="121"/>
      <c r="Y67" s="118"/>
      <c r="Z67" s="121"/>
      <c r="AA67" s="121"/>
      <c r="AB67" s="121"/>
      <c r="AC67" s="121"/>
      <c r="AD67" s="121"/>
      <c r="AE67" s="121"/>
      <c r="AF67" s="121"/>
      <c r="AG67" s="121"/>
      <c r="AH67" s="121"/>
      <c r="AI67" s="121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120"/>
    </row>
    <row r="68" spans="2:50" x14ac:dyDescent="0.25">
      <c r="B68" s="212">
        <v>167</v>
      </c>
      <c r="C68" s="203" t="s">
        <v>60</v>
      </c>
      <c r="D68" s="120">
        <v>3.2</v>
      </c>
      <c r="E68" s="118"/>
      <c r="F68" s="121"/>
      <c r="G68" s="212"/>
      <c r="H68" s="118"/>
      <c r="I68" s="121"/>
      <c r="J68" s="121"/>
      <c r="K68" s="121"/>
      <c r="L68" s="121"/>
      <c r="M68" s="121"/>
      <c r="N68" s="121"/>
      <c r="O68" s="121"/>
      <c r="P68" s="121"/>
      <c r="Q68" s="121"/>
      <c r="R68" s="121"/>
      <c r="S68" s="121"/>
      <c r="T68" s="120"/>
      <c r="U68" s="332"/>
      <c r="V68" s="120"/>
      <c r="W68" s="118"/>
      <c r="X68" s="121"/>
      <c r="Y68" s="118"/>
      <c r="Z68" s="121"/>
      <c r="AA68" s="121"/>
      <c r="AB68" s="121"/>
      <c r="AC68" s="121"/>
      <c r="AD68" s="121"/>
      <c r="AE68" s="121"/>
      <c r="AF68" s="121"/>
      <c r="AG68" s="121"/>
      <c r="AH68" s="121"/>
      <c r="AI68" s="121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120"/>
    </row>
    <row r="69" spans="2:50" x14ac:dyDescent="0.25">
      <c r="B69" s="212">
        <v>168</v>
      </c>
      <c r="C69" s="203" t="s">
        <v>61</v>
      </c>
      <c r="D69" s="120">
        <v>5.0999999999999996</v>
      </c>
      <c r="E69" s="118"/>
      <c r="F69" s="121"/>
      <c r="G69" s="212"/>
      <c r="H69" s="118"/>
      <c r="I69" s="121"/>
      <c r="J69" s="121"/>
      <c r="K69" s="121"/>
      <c r="L69" s="121"/>
      <c r="M69" s="121"/>
      <c r="N69" s="121"/>
      <c r="O69" s="121"/>
      <c r="P69" s="121"/>
      <c r="Q69" s="121"/>
      <c r="R69" s="121"/>
      <c r="S69" s="121"/>
      <c r="T69" s="120"/>
      <c r="U69" s="332"/>
      <c r="V69" s="120"/>
      <c r="W69" s="118"/>
      <c r="X69" s="121"/>
      <c r="Y69" s="118"/>
      <c r="Z69" s="121"/>
      <c r="AA69" s="121"/>
      <c r="AB69" s="121"/>
      <c r="AC69" s="121"/>
      <c r="AD69" s="121"/>
      <c r="AE69" s="121"/>
      <c r="AF69" s="121"/>
      <c r="AG69" s="121"/>
      <c r="AH69" s="121"/>
      <c r="AI69" s="121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120"/>
    </row>
    <row r="70" spans="2:50" x14ac:dyDescent="0.25">
      <c r="B70" s="212">
        <v>169</v>
      </c>
      <c r="C70" s="203" t="s">
        <v>60</v>
      </c>
      <c r="D70" s="120">
        <v>26.7</v>
      </c>
      <c r="E70" s="118"/>
      <c r="F70" s="121"/>
      <c r="G70" s="212"/>
      <c r="H70" s="118"/>
      <c r="I70" s="121"/>
      <c r="J70" s="121"/>
      <c r="K70" s="121"/>
      <c r="L70" s="121"/>
      <c r="M70" s="121"/>
      <c r="N70" s="121"/>
      <c r="O70" s="121"/>
      <c r="P70" s="121"/>
      <c r="Q70" s="121"/>
      <c r="R70" s="121"/>
      <c r="S70" s="121"/>
      <c r="T70" s="120"/>
      <c r="U70" s="332"/>
      <c r="V70" s="120"/>
      <c r="W70" s="118"/>
      <c r="X70" s="121"/>
      <c r="Y70" s="118"/>
      <c r="Z70" s="121"/>
      <c r="AA70" s="121"/>
      <c r="AB70" s="121"/>
      <c r="AC70" s="121"/>
      <c r="AD70" s="121"/>
      <c r="AE70" s="121"/>
      <c r="AF70" s="121"/>
      <c r="AG70" s="121"/>
      <c r="AH70" s="121"/>
      <c r="AI70" s="121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120"/>
    </row>
    <row r="71" spans="2:50" x14ac:dyDescent="0.25">
      <c r="B71" s="212">
        <v>170</v>
      </c>
      <c r="C71" s="203" t="s">
        <v>12</v>
      </c>
      <c r="D71" s="120">
        <v>9.4</v>
      </c>
      <c r="E71" s="118"/>
      <c r="F71" s="121"/>
      <c r="G71" s="212"/>
      <c r="H71" s="118"/>
      <c r="I71" s="121"/>
      <c r="J71" s="121"/>
      <c r="K71" s="121"/>
      <c r="L71" s="121"/>
      <c r="M71" s="121"/>
      <c r="N71" s="121"/>
      <c r="O71" s="121"/>
      <c r="P71" s="121"/>
      <c r="Q71" s="121"/>
      <c r="R71" s="121"/>
      <c r="S71" s="121"/>
      <c r="T71" s="120"/>
      <c r="U71" s="332"/>
      <c r="V71" s="120"/>
      <c r="W71" s="118"/>
      <c r="X71" s="121"/>
      <c r="Y71" s="118"/>
      <c r="Z71" s="121"/>
      <c r="AA71" s="121"/>
      <c r="AB71" s="121"/>
      <c r="AC71" s="121"/>
      <c r="AD71" s="121">
        <v>16</v>
      </c>
      <c r="AE71" s="121">
        <v>2</v>
      </c>
      <c r="AF71" s="121"/>
      <c r="AG71" s="121"/>
      <c r="AH71" s="121"/>
      <c r="AI71" s="121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120">
        <v>2</v>
      </c>
    </row>
    <row r="72" spans="2:50" x14ac:dyDescent="0.25">
      <c r="B72" s="212">
        <v>171</v>
      </c>
      <c r="C72" s="203" t="s">
        <v>12</v>
      </c>
      <c r="D72" s="120">
        <v>9.5</v>
      </c>
      <c r="E72" s="118"/>
      <c r="F72" s="121"/>
      <c r="G72" s="212"/>
      <c r="H72" s="118"/>
      <c r="I72" s="121"/>
      <c r="J72" s="121"/>
      <c r="K72" s="121"/>
      <c r="L72" s="121"/>
      <c r="M72" s="121"/>
      <c r="N72" s="121"/>
      <c r="O72" s="121"/>
      <c r="P72" s="121"/>
      <c r="Q72" s="121"/>
      <c r="R72" s="121">
        <v>15</v>
      </c>
      <c r="S72" s="121">
        <v>15</v>
      </c>
      <c r="T72" s="120"/>
      <c r="U72" s="332"/>
      <c r="V72" s="120"/>
      <c r="W72" s="118"/>
      <c r="X72" s="121"/>
      <c r="Y72" s="118"/>
      <c r="Z72" s="121"/>
      <c r="AA72" s="121"/>
      <c r="AB72" s="121"/>
      <c r="AC72" s="121"/>
      <c r="AD72" s="121"/>
      <c r="AE72" s="121"/>
      <c r="AF72" s="121"/>
      <c r="AG72" s="121"/>
      <c r="AH72" s="121"/>
      <c r="AI72" s="121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120"/>
    </row>
    <row r="73" spans="2:50" x14ac:dyDescent="0.25">
      <c r="B73" s="212">
        <v>172</v>
      </c>
      <c r="C73" s="203" t="s">
        <v>62</v>
      </c>
      <c r="D73" s="120">
        <v>176.6</v>
      </c>
      <c r="E73" s="118"/>
      <c r="F73" s="121"/>
      <c r="G73" s="212"/>
      <c r="H73" s="118"/>
      <c r="I73" s="121"/>
      <c r="J73" s="121"/>
      <c r="K73" s="121"/>
      <c r="L73" s="121"/>
      <c r="M73" s="121"/>
      <c r="N73" s="121"/>
      <c r="O73" s="121"/>
      <c r="P73" s="121"/>
      <c r="Q73" s="121"/>
      <c r="R73" s="121">
        <v>48</v>
      </c>
      <c r="S73" s="121">
        <v>90</v>
      </c>
      <c r="T73" s="120"/>
      <c r="U73" s="332"/>
      <c r="V73" s="120"/>
      <c r="W73" s="118"/>
      <c r="X73" s="121"/>
      <c r="Y73" s="118"/>
      <c r="Z73" s="121"/>
      <c r="AA73" s="121"/>
      <c r="AB73" s="121"/>
      <c r="AC73" s="121"/>
      <c r="AD73" s="121"/>
      <c r="AE73" s="121"/>
      <c r="AF73" s="121"/>
      <c r="AG73" s="121"/>
      <c r="AH73" s="121"/>
      <c r="AI73" s="121"/>
      <c r="AJ73" s="212"/>
      <c r="AK73" s="212"/>
      <c r="AL73" s="212"/>
      <c r="AM73" s="212"/>
      <c r="AN73" s="212"/>
      <c r="AO73" s="212"/>
      <c r="AP73" s="212"/>
      <c r="AQ73" s="212">
        <v>8</v>
      </c>
      <c r="AR73" s="212">
        <v>15</v>
      </c>
      <c r="AS73" s="212">
        <v>1</v>
      </c>
      <c r="AT73" s="212">
        <v>6</v>
      </c>
      <c r="AU73" s="212"/>
      <c r="AV73" s="212"/>
      <c r="AW73" s="212"/>
      <c r="AX73" s="120"/>
    </row>
    <row r="74" spans="2:50" ht="15.75" thickBot="1" x14ac:dyDescent="0.3">
      <c r="B74" s="89">
        <v>173</v>
      </c>
      <c r="C74" s="223" t="s">
        <v>63</v>
      </c>
      <c r="D74" s="85">
        <v>2.2000000000000002</v>
      </c>
      <c r="E74" s="127"/>
      <c r="F74" s="360"/>
      <c r="G74" s="275"/>
      <c r="H74" s="127"/>
      <c r="I74" s="360"/>
      <c r="J74" s="360"/>
      <c r="K74" s="360"/>
      <c r="L74" s="360"/>
      <c r="M74" s="360"/>
      <c r="N74" s="360"/>
      <c r="O74" s="360"/>
      <c r="P74" s="360"/>
      <c r="Q74" s="360"/>
      <c r="R74" s="360"/>
      <c r="S74" s="360"/>
      <c r="T74" s="129"/>
      <c r="U74" s="361"/>
      <c r="V74" s="85"/>
      <c r="W74" s="84"/>
      <c r="X74" s="224"/>
      <c r="Y74" s="84"/>
      <c r="Z74" s="224"/>
      <c r="AA74" s="224"/>
      <c r="AB74" s="224"/>
      <c r="AC74" s="224"/>
      <c r="AD74" s="224"/>
      <c r="AE74" s="224"/>
      <c r="AF74" s="224"/>
      <c r="AG74" s="224"/>
      <c r="AH74" s="224"/>
      <c r="AI74" s="224"/>
      <c r="AJ74" s="89"/>
      <c r="AK74" s="275"/>
      <c r="AL74" s="275"/>
      <c r="AM74" s="275"/>
      <c r="AN74" s="275"/>
      <c r="AO74" s="275"/>
      <c r="AP74" s="275"/>
      <c r="AQ74" s="275"/>
      <c r="AR74" s="275"/>
      <c r="AS74" s="275"/>
      <c r="AT74" s="275"/>
      <c r="AU74" s="275"/>
      <c r="AV74" s="275"/>
      <c r="AW74" s="275"/>
      <c r="AX74" s="129"/>
    </row>
    <row r="75" spans="2:50" x14ac:dyDescent="0.25">
      <c r="B75" s="228"/>
      <c r="C75" s="362" t="s">
        <v>1</v>
      </c>
      <c r="D75" s="363">
        <f t="shared" ref="D75" si="0">SUM(D4:D74)</f>
        <v>1786.3999999999999</v>
      </c>
      <c r="E75" s="135">
        <f>SUM(E4:E74)</f>
        <v>2</v>
      </c>
      <c r="F75" s="137">
        <f>SUM(F4:F74)</f>
        <v>4</v>
      </c>
      <c r="G75" s="364">
        <f>SUM(G4:G74)</f>
        <v>4</v>
      </c>
      <c r="H75" s="135">
        <f>SUM(H4:H74)</f>
        <v>6</v>
      </c>
      <c r="I75" s="137">
        <f t="shared" ref="I75:M75" si="1">SUM(I4:I74)</f>
        <v>36</v>
      </c>
      <c r="J75" s="137">
        <f t="shared" si="1"/>
        <v>6</v>
      </c>
      <c r="K75" s="137">
        <f t="shared" si="1"/>
        <v>1</v>
      </c>
      <c r="L75" s="137">
        <f t="shared" si="1"/>
        <v>7</v>
      </c>
      <c r="M75" s="137">
        <f t="shared" si="1"/>
        <v>24</v>
      </c>
      <c r="N75" s="137">
        <f t="shared" ref="N75:T75" si="2">SUM(N10:N74)</f>
        <v>36</v>
      </c>
      <c r="O75" s="137">
        <f t="shared" si="2"/>
        <v>19</v>
      </c>
      <c r="P75" s="137">
        <f t="shared" si="2"/>
        <v>5</v>
      </c>
      <c r="Q75" s="137">
        <f t="shared" si="2"/>
        <v>6</v>
      </c>
      <c r="R75" s="137">
        <f t="shared" si="2"/>
        <v>207</v>
      </c>
      <c r="S75" s="364">
        <f t="shared" si="2"/>
        <v>105</v>
      </c>
      <c r="T75" s="364">
        <f t="shared" si="2"/>
        <v>11</v>
      </c>
      <c r="U75" s="139">
        <f>SUM(U25:U74)</f>
        <v>24</v>
      </c>
      <c r="V75" s="87">
        <f>SUM(V25:V74)</f>
        <v>18</v>
      </c>
      <c r="W75" s="86">
        <f>SUM(W27:W74)</f>
        <v>36</v>
      </c>
      <c r="X75" s="138">
        <f>SUM(X27:X74)</f>
        <v>6</v>
      </c>
      <c r="Y75" s="86">
        <f t="shared" ref="Y75:AD75" si="3">SUM(Y6:Y74)</f>
        <v>2</v>
      </c>
      <c r="Z75" s="138">
        <f t="shared" si="3"/>
        <v>2</v>
      </c>
      <c r="AA75" s="138">
        <f t="shared" si="3"/>
        <v>2</v>
      </c>
      <c r="AB75" s="138">
        <f t="shared" si="3"/>
        <v>2</v>
      </c>
      <c r="AC75" s="138">
        <f t="shared" si="3"/>
        <v>2</v>
      </c>
      <c r="AD75" s="138">
        <f t="shared" si="3"/>
        <v>104</v>
      </c>
      <c r="AE75" s="138">
        <f>SUM(AE70:AE74)</f>
        <v>2</v>
      </c>
      <c r="AF75" s="138">
        <f t="shared" ref="AF75:AR75" si="4">SUM(AF9:AF74)</f>
        <v>2</v>
      </c>
      <c r="AG75" s="138">
        <f t="shared" si="4"/>
        <v>1</v>
      </c>
      <c r="AH75" s="138">
        <f t="shared" si="4"/>
        <v>2</v>
      </c>
      <c r="AI75" s="138">
        <f t="shared" si="4"/>
        <v>2</v>
      </c>
      <c r="AJ75" s="90">
        <f t="shared" si="4"/>
        <v>1</v>
      </c>
      <c r="AK75" s="364">
        <f t="shared" si="4"/>
        <v>2</v>
      </c>
      <c r="AL75" s="364">
        <f t="shared" si="4"/>
        <v>4</v>
      </c>
      <c r="AM75" s="364">
        <f t="shared" si="4"/>
        <v>2</v>
      </c>
      <c r="AN75" s="364">
        <f t="shared" si="4"/>
        <v>1</v>
      </c>
      <c r="AO75" s="364">
        <f t="shared" si="4"/>
        <v>1</v>
      </c>
      <c r="AP75" s="364">
        <f t="shared" si="4"/>
        <v>2</v>
      </c>
      <c r="AQ75" s="364">
        <f t="shared" si="4"/>
        <v>8</v>
      </c>
      <c r="AR75" s="364">
        <f t="shared" si="4"/>
        <v>15</v>
      </c>
      <c r="AS75" s="364">
        <f>SUM(AS6:AS74)</f>
        <v>1</v>
      </c>
      <c r="AT75" s="364">
        <f>SUM(AT6:AT74)</f>
        <v>6</v>
      </c>
      <c r="AU75" s="364">
        <f>SUM(AU6:AU74)</f>
        <v>8</v>
      </c>
      <c r="AV75" s="364">
        <f>SUM(AV8:AV74)</f>
        <v>2</v>
      </c>
      <c r="AW75" s="364">
        <f>SUM(AW8:AW74)</f>
        <v>2</v>
      </c>
      <c r="AX75" s="365">
        <f>SUM(AX8:AX74)</f>
        <v>2</v>
      </c>
    </row>
    <row r="76" spans="2:50" ht="15.75" thickBot="1" x14ac:dyDescent="0.3">
      <c r="B76" s="145"/>
      <c r="C76" s="236" t="s">
        <v>96</v>
      </c>
      <c r="D76" s="237">
        <f>D75+gridas_2st!D51+'gridas_3 st'!D6</f>
        <v>3484.4999999999995</v>
      </c>
      <c r="E76" s="141">
        <f>E75+mebeles_2st!E51</f>
        <v>4</v>
      </c>
      <c r="F76" s="143">
        <f>F75+mebeles_2st!F51</f>
        <v>8</v>
      </c>
      <c r="G76" s="144">
        <f>G75+mebeles_2st!G51</f>
        <v>8</v>
      </c>
      <c r="H76" s="141">
        <f>H75</f>
        <v>6</v>
      </c>
      <c r="I76" s="143">
        <f>I75</f>
        <v>36</v>
      </c>
      <c r="J76" s="143">
        <f>J75+mebeles_2st!J51</f>
        <v>14</v>
      </c>
      <c r="K76" s="143">
        <f>K75+mebeles_2st!K51</f>
        <v>2</v>
      </c>
      <c r="L76" s="143">
        <f>L75+mebeles_2st!L51</f>
        <v>16</v>
      </c>
      <c r="M76" s="143">
        <f>M75+mebeles_2st!M51</f>
        <v>48</v>
      </c>
      <c r="N76" s="143">
        <f>N75+mebeles_2st!N51</f>
        <v>72</v>
      </c>
      <c r="O76" s="143">
        <f>O75+mebeles_2st!O51</f>
        <v>39</v>
      </c>
      <c r="P76" s="143">
        <f>P75+mebeles_2st!P51</f>
        <v>16</v>
      </c>
      <c r="Q76" s="143">
        <f>Q75+mebeles_2st!Q51</f>
        <v>12</v>
      </c>
      <c r="R76" s="143">
        <f>R75+mebeles_2st!R51</f>
        <v>223</v>
      </c>
      <c r="S76" s="144">
        <f>S75+mebeles_2st!S51</f>
        <v>289</v>
      </c>
      <c r="T76" s="144">
        <f>T75+mebeles_2st!T51</f>
        <v>20</v>
      </c>
      <c r="U76" s="145">
        <f>U75+mebeles_2st!U51</f>
        <v>48</v>
      </c>
      <c r="V76" s="98">
        <f>V75+mebeles_2st!V51</f>
        <v>36</v>
      </c>
      <c r="W76" s="141">
        <f>W75+mebeles_2st!W51</f>
        <v>72</v>
      </c>
      <c r="X76" s="143">
        <f>X75+mebeles_2st!X51</f>
        <v>12</v>
      </c>
      <c r="Y76" s="141">
        <f>Y75+mebeles_2st!Y51</f>
        <v>3</v>
      </c>
      <c r="Z76" s="143">
        <f>Z75+mebeles_2st!Z51</f>
        <v>3</v>
      </c>
      <c r="AA76" s="143">
        <f>AA75+mebeles_2st!AA51</f>
        <v>3</v>
      </c>
      <c r="AB76" s="143">
        <f>AB75+mebeles_2st!AB51</f>
        <v>4</v>
      </c>
      <c r="AC76" s="143">
        <f>AC75+mebeles_2st!AC51</f>
        <v>4</v>
      </c>
      <c r="AD76" s="143">
        <f>AD75+mebeles_2st!AD51</f>
        <v>117</v>
      </c>
      <c r="AE76" s="143">
        <f>AE75</f>
        <v>2</v>
      </c>
      <c r="AF76" s="143">
        <f>AF75+mebeles_2st!AE51</f>
        <v>3</v>
      </c>
      <c r="AG76" s="143">
        <f>AG75</f>
        <v>1</v>
      </c>
      <c r="AH76" s="143">
        <f>AH75</f>
        <v>2</v>
      </c>
      <c r="AI76" s="143">
        <f>AI75</f>
        <v>2</v>
      </c>
      <c r="AJ76" s="144">
        <f>AJ75</f>
        <v>1</v>
      </c>
      <c r="AK76" s="144">
        <f>AK75+mebeles_2st!AF51</f>
        <v>4</v>
      </c>
      <c r="AL76" s="144">
        <f>AL75+mebeles_2st!AJ51</f>
        <v>7</v>
      </c>
      <c r="AM76" s="144">
        <f>AM75+mebeles_2st!AK51</f>
        <v>3</v>
      </c>
      <c r="AN76" s="144">
        <f>AN75</f>
        <v>1</v>
      </c>
      <c r="AO76" s="144">
        <f>AO75+mebeles_2st!AL51</f>
        <v>2</v>
      </c>
      <c r="AP76" s="144">
        <f t="shared" ref="AP76:AX76" si="5">AP75</f>
        <v>2</v>
      </c>
      <c r="AQ76" s="144">
        <f t="shared" si="5"/>
        <v>8</v>
      </c>
      <c r="AR76" s="144">
        <f t="shared" si="5"/>
        <v>15</v>
      </c>
      <c r="AS76" s="144">
        <f t="shared" si="5"/>
        <v>1</v>
      </c>
      <c r="AT76" s="144">
        <f t="shared" si="5"/>
        <v>6</v>
      </c>
      <c r="AU76" s="144">
        <f t="shared" si="5"/>
        <v>8</v>
      </c>
      <c r="AV76" s="144">
        <f t="shared" si="5"/>
        <v>2</v>
      </c>
      <c r="AW76" s="144">
        <f t="shared" si="5"/>
        <v>2</v>
      </c>
      <c r="AX76" s="98">
        <f t="shared" si="5"/>
        <v>2</v>
      </c>
    </row>
    <row r="77" spans="2:50" ht="7.5" customHeight="1" x14ac:dyDescent="0.25"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0"/>
      <c r="AL77" s="140"/>
    </row>
    <row r="78" spans="2:50" ht="21" customHeight="1" x14ac:dyDescent="0.25">
      <c r="R78" s="629" t="s">
        <v>104</v>
      </c>
      <c r="S78" s="629"/>
    </row>
    <row r="79" spans="2:50" x14ac:dyDescent="0.25">
      <c r="R79" s="629"/>
      <c r="S79" s="629"/>
      <c r="AD79" s="146" t="s">
        <v>149</v>
      </c>
      <c r="AE79" s="147"/>
      <c r="AF79" s="148"/>
      <c r="AG79" s="149"/>
      <c r="AO79" s="146" t="s">
        <v>150</v>
      </c>
      <c r="AP79" s="146"/>
    </row>
    <row r="80" spans="2:50" x14ac:dyDescent="0.25">
      <c r="R80" s="629"/>
      <c r="S80" s="629"/>
      <c r="AD80" s="146" t="s">
        <v>151</v>
      </c>
      <c r="AE80" s="147"/>
      <c r="AF80" s="148"/>
      <c r="AG80" s="149"/>
      <c r="AO80" s="146"/>
      <c r="AP80" s="146" t="s">
        <v>103</v>
      </c>
    </row>
    <row r="81" spans="4:42" x14ac:dyDescent="0.25">
      <c r="R81" s="629"/>
      <c r="S81" s="629"/>
      <c r="AD81" s="150"/>
      <c r="AE81" s="146" t="s">
        <v>98</v>
      </c>
      <c r="AF81" s="148"/>
      <c r="AG81" s="149"/>
      <c r="AO81" s="146"/>
      <c r="AP81" s="146" t="s">
        <v>102</v>
      </c>
    </row>
    <row r="82" spans="4:42" x14ac:dyDescent="0.25">
      <c r="D82" s="148"/>
      <c r="E82" s="149"/>
      <c r="AD82" s="102"/>
      <c r="AF82" s="148"/>
      <c r="AG82" s="149"/>
      <c r="AO82" s="146"/>
      <c r="AP82" s="146" t="s">
        <v>115</v>
      </c>
    </row>
    <row r="83" spans="4:42" x14ac:dyDescent="0.25">
      <c r="D83" s="148"/>
      <c r="E83" s="149"/>
    </row>
  </sheetData>
  <mergeCells count="6">
    <mergeCell ref="Y2:AX2"/>
    <mergeCell ref="R78:S81"/>
    <mergeCell ref="U2:V2"/>
    <mergeCell ref="E2:G2"/>
    <mergeCell ref="H2:T2"/>
    <mergeCell ref="W2:X2"/>
  </mergeCells>
  <pageMargins left="0.23622047244094491" right="0.23622047244094491" top="0.74803149606299213" bottom="0.74803149606299213" header="0.31496062992125984" footer="0.31496062992125984"/>
  <pageSetup paperSize="257" orientation="landscape" horizontalDpi="4294967293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AS60"/>
  <sheetViews>
    <sheetView topLeftCell="F1" zoomScale="115" zoomScaleNormal="115" workbookViewId="0">
      <pane ySplit="3" topLeftCell="A34" activePane="bottomLeft" state="frozen"/>
      <selection pane="bottomLeft" activeCell="O3" sqref="O3:P3"/>
    </sheetView>
  </sheetViews>
  <sheetFormatPr defaultRowHeight="15" x14ac:dyDescent="0.25"/>
  <cols>
    <col min="1" max="1" width="2.28515625" style="103" customWidth="1"/>
    <col min="2" max="2" width="5.7109375" style="102" customWidth="1"/>
    <col min="3" max="3" width="26.5703125" style="103" customWidth="1"/>
    <col min="4" max="4" width="11.85546875" style="102" customWidth="1"/>
    <col min="5" max="5" width="4.85546875" style="102" customWidth="1"/>
    <col min="6" max="6" width="4.7109375" style="103" customWidth="1"/>
    <col min="7" max="7" width="4.5703125" style="103" customWidth="1"/>
    <col min="8" max="8" width="4" style="103" bestFit="1" customWidth="1"/>
    <col min="9" max="9" width="5" style="103" customWidth="1"/>
    <col min="10" max="10" width="4.42578125" style="103" customWidth="1"/>
    <col min="11" max="11" width="4" style="103" customWidth="1"/>
    <col min="12" max="12" width="4.42578125" style="103" customWidth="1"/>
    <col min="13" max="13" width="4.7109375" style="103" customWidth="1"/>
    <col min="14" max="14" width="4.42578125" style="103" customWidth="1"/>
    <col min="15" max="15" width="7" style="103" bestFit="1" customWidth="1"/>
    <col min="16" max="16" width="5.140625" style="103" customWidth="1"/>
    <col min="17" max="18" width="5" style="103" customWidth="1"/>
    <col min="19" max="19" width="5.42578125" style="103" customWidth="1"/>
    <col min="20" max="20" width="6.7109375" style="103" customWidth="1"/>
    <col min="21" max="21" width="7.42578125" style="103" customWidth="1"/>
    <col min="22" max="22" width="8" style="103" customWidth="1"/>
    <col min="23" max="24" width="5.7109375" style="103" customWidth="1"/>
    <col min="25" max="25" width="4.7109375" style="103" customWidth="1"/>
    <col min="26" max="26" width="5.140625" style="103" customWidth="1"/>
    <col min="27" max="28" width="4.5703125" style="103" customWidth="1"/>
    <col min="29" max="29" width="4.7109375" style="103" customWidth="1"/>
    <col min="30" max="30" width="5" style="103" customWidth="1"/>
    <col min="31" max="31" width="4" style="103" bestFit="1" customWidth="1"/>
    <col min="32" max="32" width="4.7109375" style="103" customWidth="1"/>
    <col min="33" max="33" width="4.140625" style="103" customWidth="1"/>
    <col min="34" max="34" width="4.7109375" style="103" customWidth="1"/>
    <col min="35" max="37" width="7" style="103" bestFit="1" customWidth="1"/>
    <col min="38" max="38" width="5.42578125" style="103" customWidth="1"/>
    <col min="39" max="39" width="4" style="103" bestFit="1" customWidth="1"/>
    <col min="40" max="40" width="7" style="103" bestFit="1" customWidth="1"/>
    <col min="41" max="41" width="6.140625" style="103" customWidth="1"/>
    <col min="42" max="44" width="7" style="103" bestFit="1" customWidth="1"/>
    <col min="45" max="45" width="7.5703125" style="103" customWidth="1"/>
    <col min="46" max="16384" width="9.140625" style="103"/>
  </cols>
  <sheetData>
    <row r="1" spans="2:45" ht="15.75" thickBot="1" x14ac:dyDescent="0.3"/>
    <row r="2" spans="2:45" ht="16.5" customHeight="1" thickBot="1" x14ac:dyDescent="0.3">
      <c r="E2" s="616" t="s">
        <v>267</v>
      </c>
      <c r="F2" s="617"/>
      <c r="G2" s="618"/>
      <c r="H2" s="630" t="s">
        <v>105</v>
      </c>
      <c r="I2" s="630"/>
      <c r="J2" s="630"/>
      <c r="K2" s="630"/>
      <c r="L2" s="630"/>
      <c r="M2" s="630"/>
      <c r="N2" s="630"/>
      <c r="O2" s="630"/>
      <c r="P2" s="630"/>
      <c r="Q2" s="630"/>
      <c r="R2" s="630"/>
      <c r="S2" s="630"/>
      <c r="T2" s="628"/>
      <c r="U2" s="627" t="s">
        <v>106</v>
      </c>
      <c r="V2" s="628"/>
      <c r="W2" s="627" t="s">
        <v>107</v>
      </c>
      <c r="X2" s="628"/>
      <c r="Y2" s="631" t="s">
        <v>108</v>
      </c>
      <c r="Z2" s="632"/>
      <c r="AA2" s="632"/>
      <c r="AB2" s="632"/>
      <c r="AC2" s="632"/>
      <c r="AD2" s="632"/>
      <c r="AE2" s="632"/>
      <c r="AF2" s="632"/>
      <c r="AG2" s="632"/>
      <c r="AH2" s="632"/>
      <c r="AI2" s="632"/>
      <c r="AJ2" s="632"/>
      <c r="AK2" s="632"/>
      <c r="AL2" s="632"/>
      <c r="AM2" s="632"/>
      <c r="AN2" s="632"/>
      <c r="AO2" s="632"/>
      <c r="AP2" s="632"/>
      <c r="AQ2" s="632"/>
      <c r="AR2" s="633"/>
      <c r="AS2" s="372" t="s">
        <v>127</v>
      </c>
    </row>
    <row r="3" spans="2:45" ht="294" customHeight="1" thickBot="1" x14ac:dyDescent="0.3">
      <c r="B3" s="104" t="s">
        <v>5</v>
      </c>
      <c r="C3" s="105" t="s">
        <v>3</v>
      </c>
      <c r="D3" s="106" t="s">
        <v>138</v>
      </c>
      <c r="E3" s="349" t="s">
        <v>196</v>
      </c>
      <c r="F3" s="350" t="s">
        <v>197</v>
      </c>
      <c r="G3" s="373" t="s">
        <v>249</v>
      </c>
      <c r="H3" s="354" t="s">
        <v>250</v>
      </c>
      <c r="I3" s="109" t="s">
        <v>251</v>
      </c>
      <c r="J3" s="374" t="s">
        <v>201</v>
      </c>
      <c r="K3" s="374" t="s">
        <v>202</v>
      </c>
      <c r="L3" s="374" t="s">
        <v>203</v>
      </c>
      <c r="M3" s="374" t="s">
        <v>204</v>
      </c>
      <c r="N3" s="111" t="s">
        <v>205</v>
      </c>
      <c r="O3" s="111" t="s">
        <v>364</v>
      </c>
      <c r="P3" s="111" t="s">
        <v>363</v>
      </c>
      <c r="Q3" s="374" t="s">
        <v>365</v>
      </c>
      <c r="R3" s="374" t="s">
        <v>252</v>
      </c>
      <c r="S3" s="374" t="s">
        <v>253</v>
      </c>
      <c r="T3" s="374" t="s">
        <v>208</v>
      </c>
      <c r="U3" s="354" t="s">
        <v>209</v>
      </c>
      <c r="V3" s="355" t="s">
        <v>210</v>
      </c>
      <c r="W3" s="318" t="s">
        <v>211</v>
      </c>
      <c r="X3" s="343" t="s">
        <v>212</v>
      </c>
      <c r="Y3" s="318" t="s">
        <v>213</v>
      </c>
      <c r="Z3" s="111" t="s">
        <v>214</v>
      </c>
      <c r="AA3" s="111" t="s">
        <v>215</v>
      </c>
      <c r="AB3" s="111" t="s">
        <v>216</v>
      </c>
      <c r="AC3" s="111" t="s">
        <v>217</v>
      </c>
      <c r="AD3" s="111" t="s">
        <v>218</v>
      </c>
      <c r="AE3" s="111" t="s">
        <v>254</v>
      </c>
      <c r="AF3" s="193" t="s">
        <v>225</v>
      </c>
      <c r="AG3" s="193" t="s">
        <v>255</v>
      </c>
      <c r="AH3" s="193" t="s">
        <v>256</v>
      </c>
      <c r="AI3" s="193" t="s">
        <v>257</v>
      </c>
      <c r="AJ3" s="193" t="s">
        <v>258</v>
      </c>
      <c r="AK3" s="193" t="s">
        <v>227</v>
      </c>
      <c r="AL3" s="111" t="s">
        <v>259</v>
      </c>
      <c r="AM3" s="111" t="s">
        <v>260</v>
      </c>
      <c r="AN3" s="111" t="s">
        <v>261</v>
      </c>
      <c r="AO3" s="111" t="s">
        <v>262</v>
      </c>
      <c r="AP3" s="111" t="s">
        <v>263</v>
      </c>
      <c r="AQ3" s="111" t="s">
        <v>264</v>
      </c>
      <c r="AR3" s="193" t="s">
        <v>265</v>
      </c>
      <c r="AS3" s="375" t="s">
        <v>266</v>
      </c>
    </row>
    <row r="4" spans="2:45" x14ac:dyDescent="0.25">
      <c r="B4" s="82">
        <v>201</v>
      </c>
      <c r="C4" s="113" t="s">
        <v>16</v>
      </c>
      <c r="D4" s="83">
        <v>73.5</v>
      </c>
      <c r="E4" s="82"/>
      <c r="F4" s="114"/>
      <c r="G4" s="83"/>
      <c r="H4" s="319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88"/>
      <c r="T4" s="83"/>
      <c r="U4" s="331"/>
      <c r="V4" s="330"/>
      <c r="W4" s="82"/>
      <c r="X4" s="83"/>
      <c r="Y4" s="196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321"/>
      <c r="AS4" s="376"/>
    </row>
    <row r="5" spans="2:45" x14ac:dyDescent="0.25">
      <c r="B5" s="118">
        <v>202</v>
      </c>
      <c r="C5" s="119" t="s">
        <v>64</v>
      </c>
      <c r="D5" s="120">
        <v>45.2</v>
      </c>
      <c r="E5" s="320"/>
      <c r="F5" s="197"/>
      <c r="G5" s="330"/>
      <c r="H5" s="196"/>
      <c r="I5" s="197"/>
      <c r="J5" s="197">
        <v>1</v>
      </c>
      <c r="K5" s="197"/>
      <c r="L5" s="197">
        <v>1</v>
      </c>
      <c r="M5" s="197"/>
      <c r="N5" s="197"/>
      <c r="O5" s="197"/>
      <c r="P5" s="197">
        <v>2</v>
      </c>
      <c r="Q5" s="197"/>
      <c r="R5" s="197"/>
      <c r="S5" s="321">
        <v>24</v>
      </c>
      <c r="T5" s="330">
        <v>1</v>
      </c>
      <c r="U5" s="331"/>
      <c r="V5" s="330"/>
      <c r="W5" s="320"/>
      <c r="X5" s="330"/>
      <c r="Y5" s="196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197"/>
      <c r="AQ5" s="197"/>
      <c r="AR5" s="321"/>
      <c r="AS5" s="376"/>
    </row>
    <row r="6" spans="2:45" x14ac:dyDescent="0.25">
      <c r="B6" s="118">
        <v>203</v>
      </c>
      <c r="C6" s="119" t="s">
        <v>64</v>
      </c>
      <c r="D6" s="120">
        <v>45.2</v>
      </c>
      <c r="E6" s="320"/>
      <c r="F6" s="197"/>
      <c r="G6" s="330"/>
      <c r="H6" s="196"/>
      <c r="I6" s="197"/>
      <c r="J6" s="197">
        <v>1</v>
      </c>
      <c r="K6" s="197"/>
      <c r="L6" s="197">
        <v>1</v>
      </c>
      <c r="M6" s="197"/>
      <c r="N6" s="197"/>
      <c r="O6" s="197"/>
      <c r="P6" s="197">
        <v>2</v>
      </c>
      <c r="Q6" s="197"/>
      <c r="R6" s="197">
        <v>12</v>
      </c>
      <c r="S6" s="321">
        <v>12</v>
      </c>
      <c r="T6" s="330">
        <v>1</v>
      </c>
      <c r="U6" s="331"/>
      <c r="V6" s="330"/>
      <c r="W6" s="320"/>
      <c r="X6" s="330"/>
      <c r="Y6" s="196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P6" s="197"/>
      <c r="AQ6" s="197"/>
      <c r="AR6" s="321"/>
      <c r="AS6" s="376"/>
    </row>
    <row r="7" spans="2:45" x14ac:dyDescent="0.25">
      <c r="B7" s="118">
        <v>204</v>
      </c>
      <c r="C7" s="119" t="s">
        <v>16</v>
      </c>
      <c r="D7" s="120">
        <v>37.299999999999997</v>
      </c>
      <c r="E7" s="320"/>
      <c r="F7" s="197"/>
      <c r="G7" s="330"/>
      <c r="H7" s="196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321"/>
      <c r="T7" s="330"/>
      <c r="U7" s="331"/>
      <c r="V7" s="330"/>
      <c r="W7" s="320"/>
      <c r="X7" s="330"/>
      <c r="Y7" s="196"/>
      <c r="Z7" s="197"/>
      <c r="AA7" s="197"/>
      <c r="AB7" s="197"/>
      <c r="AC7" s="197"/>
      <c r="AD7" s="197"/>
      <c r="AE7" s="197"/>
      <c r="AF7" s="197"/>
      <c r="AG7" s="197"/>
      <c r="AH7" s="197"/>
      <c r="AI7" s="197"/>
      <c r="AJ7" s="197"/>
      <c r="AK7" s="197"/>
      <c r="AL7" s="197"/>
      <c r="AM7" s="197"/>
      <c r="AN7" s="197"/>
      <c r="AO7" s="197"/>
      <c r="AP7" s="197"/>
      <c r="AQ7" s="197"/>
      <c r="AR7" s="321"/>
      <c r="AS7" s="376"/>
    </row>
    <row r="8" spans="2:45" x14ac:dyDescent="0.25">
      <c r="B8" s="118">
        <v>205</v>
      </c>
      <c r="C8" s="119" t="s">
        <v>65</v>
      </c>
      <c r="D8" s="120">
        <v>18.7</v>
      </c>
      <c r="E8" s="320"/>
      <c r="F8" s="197"/>
      <c r="G8" s="330"/>
      <c r="H8" s="196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321"/>
      <c r="T8" s="330"/>
      <c r="U8" s="331"/>
      <c r="V8" s="330"/>
      <c r="W8" s="320"/>
      <c r="X8" s="330"/>
      <c r="Y8" s="196"/>
      <c r="Z8" s="197"/>
      <c r="AA8" s="197"/>
      <c r="AB8" s="197"/>
      <c r="AC8" s="197"/>
      <c r="AD8" s="197"/>
      <c r="AE8" s="197"/>
      <c r="AF8" s="197"/>
      <c r="AG8" s="197"/>
      <c r="AH8" s="197"/>
      <c r="AI8" s="197"/>
      <c r="AJ8" s="197"/>
      <c r="AK8" s="197"/>
      <c r="AL8" s="197"/>
      <c r="AM8" s="197"/>
      <c r="AN8" s="197"/>
      <c r="AO8" s="197"/>
      <c r="AP8" s="197"/>
      <c r="AQ8" s="197"/>
      <c r="AR8" s="321"/>
      <c r="AS8" s="376"/>
    </row>
    <row r="9" spans="2:45" x14ac:dyDescent="0.25">
      <c r="B9" s="125">
        <v>206</v>
      </c>
      <c r="C9" s="126" t="s">
        <v>17</v>
      </c>
      <c r="D9" s="124">
        <v>4.9000000000000004</v>
      </c>
      <c r="E9" s="320"/>
      <c r="F9" s="197"/>
      <c r="G9" s="330"/>
      <c r="H9" s="196"/>
      <c r="I9" s="197"/>
      <c r="J9" s="197"/>
      <c r="K9" s="197"/>
      <c r="L9" s="197"/>
      <c r="M9" s="197"/>
      <c r="N9" s="197"/>
      <c r="O9" s="197"/>
      <c r="P9" s="197"/>
      <c r="Q9" s="197"/>
      <c r="R9" s="197"/>
      <c r="S9" s="321"/>
      <c r="T9" s="330"/>
      <c r="U9" s="331"/>
      <c r="V9" s="330"/>
      <c r="W9" s="320"/>
      <c r="X9" s="330"/>
      <c r="Y9" s="196"/>
      <c r="Z9" s="197"/>
      <c r="AA9" s="197"/>
      <c r="AB9" s="197"/>
      <c r="AC9" s="197"/>
      <c r="AD9" s="197"/>
      <c r="AE9" s="197"/>
      <c r="AF9" s="197"/>
      <c r="AG9" s="197"/>
      <c r="AH9" s="197"/>
      <c r="AI9" s="197"/>
      <c r="AJ9" s="197"/>
      <c r="AK9" s="197"/>
      <c r="AL9" s="197"/>
      <c r="AM9" s="197"/>
      <c r="AN9" s="197"/>
      <c r="AO9" s="197"/>
      <c r="AP9" s="197"/>
      <c r="AQ9" s="197"/>
      <c r="AR9" s="321"/>
      <c r="AS9" s="376"/>
    </row>
    <row r="10" spans="2:45" x14ac:dyDescent="0.25">
      <c r="B10" s="118">
        <v>207</v>
      </c>
      <c r="C10" s="119" t="s">
        <v>66</v>
      </c>
      <c r="D10" s="120">
        <v>22.3</v>
      </c>
      <c r="E10" s="320"/>
      <c r="F10" s="197"/>
      <c r="G10" s="330"/>
      <c r="H10" s="196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321"/>
      <c r="T10" s="330"/>
      <c r="U10" s="331"/>
      <c r="V10" s="330"/>
      <c r="W10" s="320"/>
      <c r="X10" s="330"/>
      <c r="Y10" s="196"/>
      <c r="Z10" s="197"/>
      <c r="AA10" s="197"/>
      <c r="AB10" s="197"/>
      <c r="AC10" s="197"/>
      <c r="AD10" s="197">
        <v>13</v>
      </c>
      <c r="AE10" s="197"/>
      <c r="AF10" s="197"/>
      <c r="AG10" s="197"/>
      <c r="AH10" s="197"/>
      <c r="AI10" s="197"/>
      <c r="AJ10" s="197"/>
      <c r="AK10" s="197"/>
      <c r="AL10" s="197"/>
      <c r="AM10" s="197">
        <v>1</v>
      </c>
      <c r="AN10" s="197">
        <v>1</v>
      </c>
      <c r="AO10" s="197">
        <v>1</v>
      </c>
      <c r="AP10" s="197">
        <v>1</v>
      </c>
      <c r="AQ10" s="197">
        <v>1</v>
      </c>
      <c r="AR10" s="321">
        <v>1</v>
      </c>
      <c r="AS10" s="376"/>
    </row>
    <row r="11" spans="2:45" x14ac:dyDescent="0.25">
      <c r="B11" s="118">
        <v>208</v>
      </c>
      <c r="C11" s="119" t="s">
        <v>67</v>
      </c>
      <c r="D11" s="120">
        <v>37.6</v>
      </c>
      <c r="E11" s="320"/>
      <c r="F11" s="197"/>
      <c r="G11" s="330"/>
      <c r="H11" s="196"/>
      <c r="I11" s="197"/>
      <c r="J11" s="197"/>
      <c r="K11" s="197"/>
      <c r="L11" s="197"/>
      <c r="M11" s="197"/>
      <c r="N11" s="197"/>
      <c r="O11" s="197"/>
      <c r="P11" s="197"/>
      <c r="Q11" s="197"/>
      <c r="R11" s="197"/>
      <c r="S11" s="321"/>
      <c r="T11" s="330"/>
      <c r="U11" s="331"/>
      <c r="V11" s="330"/>
      <c r="W11" s="320"/>
      <c r="X11" s="330"/>
      <c r="Y11" s="196"/>
      <c r="Z11" s="197"/>
      <c r="AA11" s="197"/>
      <c r="AB11" s="197"/>
      <c r="AC11" s="197"/>
      <c r="AD11" s="197"/>
      <c r="AE11" s="197"/>
      <c r="AF11" s="197"/>
      <c r="AG11" s="197"/>
      <c r="AH11" s="197"/>
      <c r="AI11" s="197"/>
      <c r="AJ11" s="197"/>
      <c r="AK11" s="197"/>
      <c r="AL11" s="197"/>
      <c r="AM11" s="197"/>
      <c r="AN11" s="197"/>
      <c r="AO11" s="197"/>
      <c r="AP11" s="197"/>
      <c r="AQ11" s="197"/>
      <c r="AR11" s="321"/>
      <c r="AS11" s="376"/>
    </row>
    <row r="12" spans="2:45" x14ac:dyDescent="0.25">
      <c r="B12" s="118">
        <v>209</v>
      </c>
      <c r="C12" s="119" t="s">
        <v>22</v>
      </c>
      <c r="D12" s="120">
        <v>12.7</v>
      </c>
      <c r="E12" s="320"/>
      <c r="F12" s="197"/>
      <c r="G12" s="330"/>
      <c r="H12" s="196"/>
      <c r="I12" s="197"/>
      <c r="J12" s="197"/>
      <c r="K12" s="197"/>
      <c r="L12" s="197"/>
      <c r="M12" s="197"/>
      <c r="N12" s="197"/>
      <c r="O12" s="197"/>
      <c r="P12" s="197"/>
      <c r="Q12" s="197"/>
      <c r="R12" s="197"/>
      <c r="S12" s="321"/>
      <c r="T12" s="330"/>
      <c r="U12" s="331"/>
      <c r="V12" s="330"/>
      <c r="W12" s="320"/>
      <c r="X12" s="330"/>
      <c r="Y12" s="196"/>
      <c r="Z12" s="197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>
        <v>3</v>
      </c>
      <c r="AK12" s="197">
        <v>1</v>
      </c>
      <c r="AL12" s="197"/>
      <c r="AM12" s="197"/>
      <c r="AN12" s="197"/>
      <c r="AO12" s="197"/>
      <c r="AP12" s="197"/>
      <c r="AQ12" s="197"/>
      <c r="AR12" s="321"/>
      <c r="AS12" s="376"/>
    </row>
    <row r="13" spans="2:45" x14ac:dyDescent="0.25">
      <c r="B13" s="118">
        <v>210</v>
      </c>
      <c r="C13" s="119" t="s">
        <v>23</v>
      </c>
      <c r="D13" s="120">
        <v>2.7</v>
      </c>
      <c r="E13" s="320"/>
      <c r="F13" s="197"/>
      <c r="G13" s="330"/>
      <c r="H13" s="196"/>
      <c r="I13" s="197"/>
      <c r="J13" s="197"/>
      <c r="K13" s="197"/>
      <c r="L13" s="197"/>
      <c r="M13" s="197"/>
      <c r="N13" s="197"/>
      <c r="O13" s="197"/>
      <c r="P13" s="197"/>
      <c r="Q13" s="197"/>
      <c r="R13" s="197"/>
      <c r="S13" s="321"/>
      <c r="T13" s="330"/>
      <c r="U13" s="331"/>
      <c r="V13" s="330"/>
      <c r="W13" s="320"/>
      <c r="X13" s="330"/>
      <c r="Y13" s="196"/>
      <c r="Z13" s="197"/>
      <c r="AA13" s="197"/>
      <c r="AB13" s="197"/>
      <c r="AC13" s="197"/>
      <c r="AD13" s="197"/>
      <c r="AE13" s="197"/>
      <c r="AF13" s="197"/>
      <c r="AG13" s="197"/>
      <c r="AH13" s="197"/>
      <c r="AI13" s="197"/>
      <c r="AJ13" s="197"/>
      <c r="AK13" s="197"/>
      <c r="AL13" s="197"/>
      <c r="AM13" s="197"/>
      <c r="AN13" s="197"/>
      <c r="AO13" s="197"/>
      <c r="AP13" s="197"/>
      <c r="AQ13" s="197"/>
      <c r="AR13" s="321"/>
      <c r="AS13" s="376"/>
    </row>
    <row r="14" spans="2:45" s="140" customFormat="1" x14ac:dyDescent="0.25">
      <c r="B14" s="118">
        <v>211</v>
      </c>
      <c r="C14" s="119" t="s">
        <v>17</v>
      </c>
      <c r="D14" s="120">
        <v>2.5</v>
      </c>
      <c r="E14" s="320"/>
      <c r="F14" s="197"/>
      <c r="G14" s="330"/>
      <c r="H14" s="196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321"/>
      <c r="T14" s="330"/>
      <c r="U14" s="331"/>
      <c r="V14" s="330"/>
      <c r="W14" s="320"/>
      <c r="X14" s="330"/>
      <c r="Y14" s="196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197"/>
      <c r="AQ14" s="197"/>
      <c r="AR14" s="321"/>
      <c r="AS14" s="376"/>
    </row>
    <row r="15" spans="2:45" s="140" customFormat="1" x14ac:dyDescent="0.25">
      <c r="B15" s="118">
        <v>212</v>
      </c>
      <c r="C15" s="119" t="s">
        <v>24</v>
      </c>
      <c r="D15" s="120">
        <v>8.1</v>
      </c>
      <c r="E15" s="320"/>
      <c r="F15" s="197"/>
      <c r="G15" s="330"/>
      <c r="H15" s="196"/>
      <c r="I15" s="197"/>
      <c r="J15" s="197"/>
      <c r="K15" s="197"/>
      <c r="L15" s="197"/>
      <c r="M15" s="197"/>
      <c r="N15" s="197"/>
      <c r="O15" s="197"/>
      <c r="P15" s="197"/>
      <c r="Q15" s="197"/>
      <c r="R15" s="197"/>
      <c r="S15" s="321"/>
      <c r="T15" s="330"/>
      <c r="U15" s="331"/>
      <c r="V15" s="330"/>
      <c r="W15" s="320"/>
      <c r="X15" s="330"/>
      <c r="Y15" s="196"/>
      <c r="Z15" s="197"/>
      <c r="AA15" s="197"/>
      <c r="AB15" s="197"/>
      <c r="AC15" s="197"/>
      <c r="AD15" s="197"/>
      <c r="AE15" s="197"/>
      <c r="AF15" s="197">
        <v>2</v>
      </c>
      <c r="AG15" s="197"/>
      <c r="AH15" s="197"/>
      <c r="AI15" s="197"/>
      <c r="AJ15" s="197"/>
      <c r="AK15" s="197"/>
      <c r="AL15" s="197"/>
      <c r="AM15" s="197"/>
      <c r="AN15" s="197"/>
      <c r="AO15" s="197"/>
      <c r="AP15" s="197"/>
      <c r="AQ15" s="197"/>
      <c r="AR15" s="321"/>
      <c r="AS15" s="376"/>
    </row>
    <row r="16" spans="2:45" x14ac:dyDescent="0.25">
      <c r="B16" s="118">
        <v>213</v>
      </c>
      <c r="C16" s="119" t="s">
        <v>11</v>
      </c>
      <c r="D16" s="120">
        <v>24.1</v>
      </c>
      <c r="E16" s="320"/>
      <c r="F16" s="197"/>
      <c r="G16" s="330"/>
      <c r="H16" s="196"/>
      <c r="I16" s="197"/>
      <c r="J16" s="197"/>
      <c r="K16" s="197"/>
      <c r="L16" s="197"/>
      <c r="M16" s="197"/>
      <c r="N16" s="197"/>
      <c r="O16" s="197"/>
      <c r="P16" s="197"/>
      <c r="Q16" s="197"/>
      <c r="R16" s="197"/>
      <c r="S16" s="321"/>
      <c r="T16" s="330"/>
      <c r="U16" s="331"/>
      <c r="V16" s="330"/>
      <c r="W16" s="320"/>
      <c r="X16" s="330"/>
      <c r="Y16" s="196"/>
      <c r="Z16" s="197"/>
      <c r="AA16" s="197"/>
      <c r="AB16" s="197"/>
      <c r="AC16" s="197"/>
      <c r="AD16" s="197"/>
      <c r="AE16" s="197"/>
      <c r="AF16" s="197"/>
      <c r="AG16" s="197"/>
      <c r="AH16" s="197"/>
      <c r="AI16" s="197"/>
      <c r="AJ16" s="197"/>
      <c r="AK16" s="197"/>
      <c r="AL16" s="197"/>
      <c r="AM16" s="197"/>
      <c r="AN16" s="197"/>
      <c r="AO16" s="197"/>
      <c r="AP16" s="197"/>
      <c r="AQ16" s="197"/>
      <c r="AR16" s="321"/>
      <c r="AS16" s="376"/>
    </row>
    <row r="17" spans="2:45" x14ac:dyDescent="0.25">
      <c r="B17" s="118">
        <v>214</v>
      </c>
      <c r="C17" s="119" t="s">
        <v>68</v>
      </c>
      <c r="D17" s="120">
        <v>14.5</v>
      </c>
      <c r="E17" s="320">
        <v>1</v>
      </c>
      <c r="F17" s="197">
        <v>2</v>
      </c>
      <c r="G17" s="330"/>
      <c r="H17" s="196"/>
      <c r="I17" s="197"/>
      <c r="J17" s="197"/>
      <c r="K17" s="197"/>
      <c r="L17" s="197"/>
      <c r="M17" s="197"/>
      <c r="N17" s="197"/>
      <c r="O17" s="197"/>
      <c r="P17" s="197"/>
      <c r="Q17" s="197"/>
      <c r="R17" s="197"/>
      <c r="S17" s="321"/>
      <c r="T17" s="330"/>
      <c r="U17" s="331"/>
      <c r="V17" s="330"/>
      <c r="W17" s="320"/>
      <c r="X17" s="330"/>
      <c r="Y17" s="196"/>
      <c r="Z17" s="197"/>
      <c r="AA17" s="197"/>
      <c r="AB17" s="197"/>
      <c r="AC17" s="197"/>
      <c r="AD17" s="197"/>
      <c r="AE17" s="197"/>
      <c r="AF17" s="197"/>
      <c r="AG17" s="197"/>
      <c r="AH17" s="197"/>
      <c r="AI17" s="197"/>
      <c r="AJ17" s="197"/>
      <c r="AK17" s="197"/>
      <c r="AL17" s="197"/>
      <c r="AM17" s="197"/>
      <c r="AN17" s="197"/>
      <c r="AO17" s="197"/>
      <c r="AP17" s="197"/>
      <c r="AQ17" s="197"/>
      <c r="AR17" s="321"/>
      <c r="AS17" s="376"/>
    </row>
    <row r="18" spans="2:45" x14ac:dyDescent="0.25">
      <c r="B18" s="118">
        <v>215</v>
      </c>
      <c r="C18" s="119" t="s">
        <v>69</v>
      </c>
      <c r="D18" s="120">
        <v>48.5</v>
      </c>
      <c r="E18" s="320"/>
      <c r="F18" s="197"/>
      <c r="G18" s="330"/>
      <c r="H18" s="196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321"/>
      <c r="T18" s="330"/>
      <c r="U18" s="331">
        <v>4</v>
      </c>
      <c r="V18" s="330">
        <v>3</v>
      </c>
      <c r="W18" s="320"/>
      <c r="X18" s="330"/>
      <c r="Y18" s="196"/>
      <c r="Z18" s="197"/>
      <c r="AA18" s="197"/>
      <c r="AB18" s="197"/>
      <c r="AC18" s="197"/>
      <c r="AD18" s="197"/>
      <c r="AE18" s="197"/>
      <c r="AF18" s="197"/>
      <c r="AG18" s="197"/>
      <c r="AH18" s="197"/>
      <c r="AI18" s="197"/>
      <c r="AJ18" s="197"/>
      <c r="AK18" s="197"/>
      <c r="AL18" s="197"/>
      <c r="AM18" s="197"/>
      <c r="AN18" s="197"/>
      <c r="AO18" s="197"/>
      <c r="AP18" s="197"/>
      <c r="AQ18" s="197"/>
      <c r="AR18" s="321"/>
      <c r="AS18" s="376"/>
    </row>
    <row r="19" spans="2:45" x14ac:dyDescent="0.25">
      <c r="B19" s="118">
        <v>216</v>
      </c>
      <c r="C19" s="119" t="s">
        <v>70</v>
      </c>
      <c r="D19" s="120">
        <v>73.8</v>
      </c>
      <c r="E19" s="320"/>
      <c r="F19" s="197"/>
      <c r="G19" s="330"/>
      <c r="H19" s="196">
        <v>1</v>
      </c>
      <c r="I19" s="197">
        <v>6</v>
      </c>
      <c r="J19" s="197">
        <v>1</v>
      </c>
      <c r="K19" s="197"/>
      <c r="L19" s="197">
        <v>1</v>
      </c>
      <c r="M19" s="197">
        <v>4</v>
      </c>
      <c r="N19" s="197">
        <v>6</v>
      </c>
      <c r="O19" s="197">
        <v>2</v>
      </c>
      <c r="P19" s="197">
        <v>2</v>
      </c>
      <c r="Q19" s="197">
        <v>1</v>
      </c>
      <c r="R19" s="197"/>
      <c r="S19" s="321">
        <v>24</v>
      </c>
      <c r="T19" s="330">
        <v>1</v>
      </c>
      <c r="U19" s="331"/>
      <c r="V19" s="330"/>
      <c r="W19" s="320"/>
      <c r="X19" s="330"/>
      <c r="Y19" s="196"/>
      <c r="Z19" s="197"/>
      <c r="AA19" s="197"/>
      <c r="AB19" s="197"/>
      <c r="AC19" s="197"/>
      <c r="AD19" s="197"/>
      <c r="AE19" s="197"/>
      <c r="AF19" s="197"/>
      <c r="AG19" s="197"/>
      <c r="AH19" s="197"/>
      <c r="AI19" s="197"/>
      <c r="AJ19" s="197"/>
      <c r="AK19" s="197"/>
      <c r="AL19" s="197"/>
      <c r="AM19" s="197"/>
      <c r="AN19" s="197"/>
      <c r="AO19" s="197"/>
      <c r="AP19" s="197"/>
      <c r="AQ19" s="197"/>
      <c r="AR19" s="321"/>
      <c r="AS19" s="376"/>
    </row>
    <row r="20" spans="2:45" x14ac:dyDescent="0.25">
      <c r="B20" s="118">
        <v>217</v>
      </c>
      <c r="C20" s="119" t="s">
        <v>71</v>
      </c>
      <c r="D20" s="120">
        <v>22.7</v>
      </c>
      <c r="E20" s="320"/>
      <c r="F20" s="197"/>
      <c r="G20" s="330"/>
      <c r="H20" s="196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321"/>
      <c r="T20" s="330"/>
      <c r="U20" s="331"/>
      <c r="V20" s="330"/>
      <c r="W20" s="320">
        <v>6</v>
      </c>
      <c r="X20" s="330">
        <v>1</v>
      </c>
      <c r="Y20" s="196"/>
      <c r="Z20" s="197"/>
      <c r="AA20" s="197"/>
      <c r="AB20" s="197"/>
      <c r="AC20" s="197"/>
      <c r="AD20" s="197"/>
      <c r="AE20" s="197"/>
      <c r="AF20" s="197"/>
      <c r="AG20" s="197"/>
      <c r="AH20" s="197"/>
      <c r="AI20" s="197"/>
      <c r="AJ20" s="197"/>
      <c r="AK20" s="197"/>
      <c r="AL20" s="197"/>
      <c r="AM20" s="197"/>
      <c r="AN20" s="197"/>
      <c r="AO20" s="197"/>
      <c r="AP20" s="197"/>
      <c r="AQ20" s="197"/>
      <c r="AR20" s="321"/>
      <c r="AS20" s="376"/>
    </row>
    <row r="21" spans="2:45" x14ac:dyDescent="0.25">
      <c r="B21" s="118">
        <v>218</v>
      </c>
      <c r="C21" s="119" t="s">
        <v>72</v>
      </c>
      <c r="D21" s="120">
        <v>50</v>
      </c>
      <c r="E21" s="320"/>
      <c r="F21" s="197"/>
      <c r="G21" s="330"/>
      <c r="H21" s="196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321"/>
      <c r="T21" s="330"/>
      <c r="U21" s="331">
        <v>4</v>
      </c>
      <c r="V21" s="330">
        <v>3</v>
      </c>
      <c r="W21" s="320"/>
      <c r="X21" s="330"/>
      <c r="Y21" s="196"/>
      <c r="Z21" s="197"/>
      <c r="AA21" s="197"/>
      <c r="AB21" s="197"/>
      <c r="AC21" s="197"/>
      <c r="AD21" s="197"/>
      <c r="AE21" s="197"/>
      <c r="AF21" s="197"/>
      <c r="AG21" s="197"/>
      <c r="AH21" s="197"/>
      <c r="AI21" s="197"/>
      <c r="AJ21" s="197"/>
      <c r="AK21" s="197"/>
      <c r="AL21" s="197"/>
      <c r="AM21" s="197"/>
      <c r="AN21" s="197"/>
      <c r="AO21" s="197"/>
      <c r="AP21" s="197"/>
      <c r="AQ21" s="197"/>
      <c r="AR21" s="321"/>
      <c r="AS21" s="376"/>
    </row>
    <row r="22" spans="2:45" x14ac:dyDescent="0.25">
      <c r="B22" s="118">
        <v>219</v>
      </c>
      <c r="C22" s="119" t="s">
        <v>73</v>
      </c>
      <c r="D22" s="120">
        <v>73.8</v>
      </c>
      <c r="E22" s="320"/>
      <c r="F22" s="197"/>
      <c r="G22" s="330"/>
      <c r="H22" s="196">
        <v>1</v>
      </c>
      <c r="I22" s="197">
        <v>6</v>
      </c>
      <c r="J22" s="197">
        <v>1</v>
      </c>
      <c r="K22" s="197"/>
      <c r="L22" s="197">
        <v>1</v>
      </c>
      <c r="M22" s="197">
        <v>4</v>
      </c>
      <c r="N22" s="197">
        <v>6</v>
      </c>
      <c r="O22" s="197">
        <v>3</v>
      </c>
      <c r="P22" s="197"/>
      <c r="Q22" s="197">
        <v>1</v>
      </c>
      <c r="R22" s="197"/>
      <c r="S22" s="321">
        <v>24</v>
      </c>
      <c r="T22" s="330">
        <v>1</v>
      </c>
      <c r="U22" s="331"/>
      <c r="V22" s="330"/>
      <c r="W22" s="320"/>
      <c r="X22" s="330"/>
      <c r="Y22" s="196"/>
      <c r="Z22" s="197"/>
      <c r="AA22" s="197"/>
      <c r="AB22" s="197"/>
      <c r="AC22" s="197"/>
      <c r="AD22" s="197"/>
      <c r="AE22" s="197"/>
      <c r="AF22" s="197"/>
      <c r="AG22" s="197"/>
      <c r="AH22" s="197"/>
      <c r="AI22" s="197"/>
      <c r="AJ22" s="197"/>
      <c r="AK22" s="197"/>
      <c r="AL22" s="197"/>
      <c r="AM22" s="197"/>
      <c r="AN22" s="197"/>
      <c r="AO22" s="197"/>
      <c r="AP22" s="197"/>
      <c r="AQ22" s="197"/>
      <c r="AR22" s="321"/>
      <c r="AS22" s="376"/>
    </row>
    <row r="23" spans="2:45" x14ac:dyDescent="0.25">
      <c r="B23" s="118">
        <v>220</v>
      </c>
      <c r="C23" s="119" t="s">
        <v>74</v>
      </c>
      <c r="D23" s="120">
        <v>22.2</v>
      </c>
      <c r="E23" s="320"/>
      <c r="F23" s="197"/>
      <c r="G23" s="330"/>
      <c r="H23" s="196"/>
      <c r="I23" s="197"/>
      <c r="J23" s="197"/>
      <c r="K23" s="197"/>
      <c r="L23" s="197"/>
      <c r="M23" s="197"/>
      <c r="N23" s="197"/>
      <c r="O23" s="197"/>
      <c r="P23" s="197"/>
      <c r="Q23" s="197"/>
      <c r="R23" s="197"/>
      <c r="S23" s="321"/>
      <c r="T23" s="330"/>
      <c r="U23" s="331"/>
      <c r="V23" s="330"/>
      <c r="W23" s="320">
        <v>6</v>
      </c>
      <c r="X23" s="330">
        <v>1</v>
      </c>
      <c r="Y23" s="196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O23" s="197"/>
      <c r="AP23" s="197"/>
      <c r="AQ23" s="197"/>
      <c r="AR23" s="321"/>
      <c r="AS23" s="376"/>
    </row>
    <row r="24" spans="2:45" x14ac:dyDescent="0.25">
      <c r="B24" s="118">
        <v>221</v>
      </c>
      <c r="C24" s="119" t="s">
        <v>75</v>
      </c>
      <c r="D24" s="120">
        <v>33.200000000000003</v>
      </c>
      <c r="E24" s="320"/>
      <c r="F24" s="197"/>
      <c r="G24" s="330">
        <v>2</v>
      </c>
      <c r="H24" s="196"/>
      <c r="I24" s="197"/>
      <c r="J24" s="197"/>
      <c r="K24" s="197"/>
      <c r="L24" s="197"/>
      <c r="M24" s="197"/>
      <c r="N24" s="197"/>
      <c r="O24" s="197"/>
      <c r="P24" s="197"/>
      <c r="Q24" s="197"/>
      <c r="R24" s="197"/>
      <c r="S24" s="321"/>
      <c r="T24" s="330"/>
      <c r="U24" s="331"/>
      <c r="V24" s="330"/>
      <c r="W24" s="320"/>
      <c r="X24" s="330"/>
      <c r="Y24" s="196"/>
      <c r="Z24" s="197"/>
      <c r="AA24" s="197"/>
      <c r="AB24" s="197"/>
      <c r="AC24" s="197"/>
      <c r="AD24" s="197"/>
      <c r="AE24" s="197"/>
      <c r="AF24" s="197"/>
      <c r="AG24" s="197"/>
      <c r="AH24" s="197"/>
      <c r="AI24" s="197"/>
      <c r="AJ24" s="197"/>
      <c r="AK24" s="197"/>
      <c r="AL24" s="197"/>
      <c r="AM24" s="197"/>
      <c r="AN24" s="197"/>
      <c r="AO24" s="197"/>
      <c r="AP24" s="197"/>
      <c r="AQ24" s="197"/>
      <c r="AR24" s="321"/>
      <c r="AS24" s="376"/>
    </row>
    <row r="25" spans="2:45" x14ac:dyDescent="0.25">
      <c r="B25" s="118">
        <v>222</v>
      </c>
      <c r="C25" s="119" t="s">
        <v>76</v>
      </c>
      <c r="D25" s="120">
        <v>21.9</v>
      </c>
      <c r="E25" s="320"/>
      <c r="F25" s="197"/>
      <c r="G25" s="330"/>
      <c r="H25" s="196"/>
      <c r="I25" s="197"/>
      <c r="J25" s="197"/>
      <c r="K25" s="197"/>
      <c r="L25" s="197"/>
      <c r="M25" s="197"/>
      <c r="N25" s="197"/>
      <c r="O25" s="197"/>
      <c r="P25" s="197"/>
      <c r="Q25" s="197"/>
      <c r="R25" s="197"/>
      <c r="S25" s="321"/>
      <c r="T25" s="330"/>
      <c r="U25" s="331"/>
      <c r="V25" s="330"/>
      <c r="W25" s="320">
        <v>6</v>
      </c>
      <c r="X25" s="330">
        <v>1</v>
      </c>
      <c r="Y25" s="196"/>
      <c r="Z25" s="197"/>
      <c r="AA25" s="197"/>
      <c r="AB25" s="197"/>
      <c r="AC25" s="197"/>
      <c r="AD25" s="197"/>
      <c r="AE25" s="197"/>
      <c r="AF25" s="197"/>
      <c r="AG25" s="197"/>
      <c r="AH25" s="197"/>
      <c r="AI25" s="197"/>
      <c r="AJ25" s="197"/>
      <c r="AK25" s="197"/>
      <c r="AL25" s="197"/>
      <c r="AM25" s="197"/>
      <c r="AN25" s="197"/>
      <c r="AO25" s="197"/>
      <c r="AP25" s="197"/>
      <c r="AQ25" s="197"/>
      <c r="AR25" s="321"/>
      <c r="AS25" s="376"/>
    </row>
    <row r="26" spans="2:45" x14ac:dyDescent="0.25">
      <c r="B26" s="118">
        <v>223</v>
      </c>
      <c r="C26" s="119" t="s">
        <v>78</v>
      </c>
      <c r="D26" s="120">
        <v>73.8</v>
      </c>
      <c r="E26" s="320"/>
      <c r="F26" s="197"/>
      <c r="G26" s="330"/>
      <c r="H26" s="196">
        <v>1</v>
      </c>
      <c r="I26" s="197">
        <v>6</v>
      </c>
      <c r="J26" s="197">
        <v>1</v>
      </c>
      <c r="K26" s="197"/>
      <c r="L26" s="197">
        <v>1</v>
      </c>
      <c r="M26" s="197">
        <v>4</v>
      </c>
      <c r="N26" s="197">
        <v>6</v>
      </c>
      <c r="O26" s="197">
        <v>3</v>
      </c>
      <c r="P26" s="197"/>
      <c r="Q26" s="197">
        <v>1</v>
      </c>
      <c r="R26" s="197"/>
      <c r="S26" s="321">
        <v>24</v>
      </c>
      <c r="T26" s="330">
        <v>1</v>
      </c>
      <c r="U26" s="331"/>
      <c r="V26" s="330"/>
      <c r="W26" s="320"/>
      <c r="X26" s="330"/>
      <c r="Y26" s="196"/>
      <c r="Z26" s="197"/>
      <c r="AA26" s="197"/>
      <c r="AB26" s="197"/>
      <c r="AC26" s="197"/>
      <c r="AD26" s="197"/>
      <c r="AE26" s="197"/>
      <c r="AF26" s="197"/>
      <c r="AG26" s="197"/>
      <c r="AH26" s="197"/>
      <c r="AI26" s="197"/>
      <c r="AJ26" s="197"/>
      <c r="AK26" s="197"/>
      <c r="AL26" s="197"/>
      <c r="AM26" s="197"/>
      <c r="AN26" s="197"/>
      <c r="AO26" s="197"/>
      <c r="AP26" s="197"/>
      <c r="AQ26" s="197"/>
      <c r="AR26" s="321"/>
      <c r="AS26" s="376"/>
    </row>
    <row r="27" spans="2:45" x14ac:dyDescent="0.25">
      <c r="B27" s="118">
        <v>224</v>
      </c>
      <c r="C27" s="119" t="s">
        <v>77</v>
      </c>
      <c r="D27" s="120">
        <v>59.4</v>
      </c>
      <c r="E27" s="320"/>
      <c r="F27" s="197"/>
      <c r="G27" s="330"/>
      <c r="H27" s="196"/>
      <c r="I27" s="197"/>
      <c r="J27" s="197"/>
      <c r="K27" s="197"/>
      <c r="L27" s="197"/>
      <c r="M27" s="197"/>
      <c r="N27" s="197"/>
      <c r="O27" s="197"/>
      <c r="P27" s="197"/>
      <c r="Q27" s="197"/>
      <c r="R27" s="197"/>
      <c r="S27" s="321"/>
      <c r="T27" s="330"/>
      <c r="U27" s="331">
        <v>4</v>
      </c>
      <c r="V27" s="330">
        <v>3</v>
      </c>
      <c r="W27" s="320"/>
      <c r="X27" s="330"/>
      <c r="Y27" s="196"/>
      <c r="Z27" s="197"/>
      <c r="AA27" s="197"/>
      <c r="AB27" s="197"/>
      <c r="AC27" s="197"/>
      <c r="AD27" s="197"/>
      <c r="AE27" s="197"/>
      <c r="AF27" s="197"/>
      <c r="AG27" s="197"/>
      <c r="AH27" s="197"/>
      <c r="AI27" s="197"/>
      <c r="AJ27" s="197"/>
      <c r="AK27" s="197"/>
      <c r="AL27" s="197"/>
      <c r="AM27" s="197"/>
      <c r="AN27" s="197"/>
      <c r="AO27" s="197"/>
      <c r="AP27" s="197"/>
      <c r="AQ27" s="197"/>
      <c r="AR27" s="321"/>
      <c r="AS27" s="376"/>
    </row>
    <row r="28" spans="2:45" x14ac:dyDescent="0.25">
      <c r="B28" s="118">
        <v>225</v>
      </c>
      <c r="C28" s="119" t="s">
        <v>79</v>
      </c>
      <c r="D28" s="120">
        <v>59.4</v>
      </c>
      <c r="E28" s="320"/>
      <c r="F28" s="197"/>
      <c r="G28" s="330"/>
      <c r="H28" s="196"/>
      <c r="I28" s="197"/>
      <c r="J28" s="197"/>
      <c r="K28" s="197"/>
      <c r="L28" s="197"/>
      <c r="M28" s="197"/>
      <c r="N28" s="197"/>
      <c r="O28" s="197"/>
      <c r="P28" s="197"/>
      <c r="Q28" s="197"/>
      <c r="R28" s="197"/>
      <c r="S28" s="321"/>
      <c r="T28" s="330"/>
      <c r="U28" s="331">
        <v>4</v>
      </c>
      <c r="V28" s="330">
        <v>3</v>
      </c>
      <c r="W28" s="320"/>
      <c r="X28" s="330"/>
      <c r="Y28" s="196"/>
      <c r="Z28" s="197"/>
      <c r="AA28" s="197"/>
      <c r="AB28" s="197"/>
      <c r="AC28" s="197"/>
      <c r="AD28" s="197"/>
      <c r="AE28" s="197"/>
      <c r="AF28" s="197"/>
      <c r="AG28" s="197"/>
      <c r="AH28" s="197"/>
      <c r="AI28" s="197"/>
      <c r="AJ28" s="197"/>
      <c r="AK28" s="197"/>
      <c r="AL28" s="197"/>
      <c r="AM28" s="197"/>
      <c r="AN28" s="197"/>
      <c r="AO28" s="197"/>
      <c r="AP28" s="197"/>
      <c r="AQ28" s="197"/>
      <c r="AR28" s="321"/>
      <c r="AS28" s="376"/>
    </row>
    <row r="29" spans="2:45" x14ac:dyDescent="0.25">
      <c r="B29" s="118">
        <v>226</v>
      </c>
      <c r="C29" s="119" t="s">
        <v>80</v>
      </c>
      <c r="D29" s="120">
        <v>73.8</v>
      </c>
      <c r="E29" s="320"/>
      <c r="F29" s="197"/>
      <c r="G29" s="330"/>
      <c r="H29" s="196">
        <v>1</v>
      </c>
      <c r="I29" s="197">
        <v>6</v>
      </c>
      <c r="J29" s="197">
        <v>1</v>
      </c>
      <c r="K29" s="197"/>
      <c r="L29" s="197">
        <v>1</v>
      </c>
      <c r="M29" s="197">
        <v>4</v>
      </c>
      <c r="N29" s="197">
        <v>6</v>
      </c>
      <c r="O29" s="197">
        <v>3</v>
      </c>
      <c r="P29" s="197"/>
      <c r="Q29" s="197">
        <v>1</v>
      </c>
      <c r="R29" s="197"/>
      <c r="S29" s="321">
        <v>24</v>
      </c>
      <c r="T29" s="330">
        <v>1</v>
      </c>
      <c r="U29" s="331"/>
      <c r="V29" s="330"/>
      <c r="W29" s="320"/>
      <c r="X29" s="330"/>
      <c r="Y29" s="196"/>
      <c r="Z29" s="197"/>
      <c r="AA29" s="197"/>
      <c r="AB29" s="197"/>
      <c r="AC29" s="197"/>
      <c r="AD29" s="197"/>
      <c r="AE29" s="197"/>
      <c r="AF29" s="197"/>
      <c r="AG29" s="197"/>
      <c r="AH29" s="197"/>
      <c r="AI29" s="197"/>
      <c r="AJ29" s="197"/>
      <c r="AK29" s="197"/>
      <c r="AL29" s="197"/>
      <c r="AM29" s="197"/>
      <c r="AN29" s="197"/>
      <c r="AO29" s="197"/>
      <c r="AP29" s="197"/>
      <c r="AQ29" s="197"/>
      <c r="AR29" s="321"/>
      <c r="AS29" s="376"/>
    </row>
    <row r="30" spans="2:45" x14ac:dyDescent="0.25">
      <c r="B30" s="118">
        <v>227</v>
      </c>
      <c r="C30" s="119" t="s">
        <v>81</v>
      </c>
      <c r="D30" s="120">
        <v>21.9</v>
      </c>
      <c r="E30" s="320"/>
      <c r="F30" s="197"/>
      <c r="G30" s="330"/>
      <c r="H30" s="196"/>
      <c r="I30" s="197"/>
      <c r="J30" s="197"/>
      <c r="K30" s="197"/>
      <c r="L30" s="197"/>
      <c r="M30" s="197"/>
      <c r="N30" s="197"/>
      <c r="O30" s="197"/>
      <c r="P30" s="197"/>
      <c r="Q30" s="197"/>
      <c r="R30" s="197"/>
      <c r="S30" s="321"/>
      <c r="T30" s="330"/>
      <c r="U30" s="331"/>
      <c r="V30" s="330"/>
      <c r="W30" s="320">
        <v>6</v>
      </c>
      <c r="X30" s="330">
        <v>1</v>
      </c>
      <c r="Y30" s="196"/>
      <c r="Z30" s="197"/>
      <c r="AA30" s="197"/>
      <c r="AB30" s="197"/>
      <c r="AC30" s="197"/>
      <c r="AD30" s="197"/>
      <c r="AE30" s="197"/>
      <c r="AF30" s="197"/>
      <c r="AG30" s="197"/>
      <c r="AH30" s="197"/>
      <c r="AI30" s="197"/>
      <c r="AJ30" s="197"/>
      <c r="AK30" s="197"/>
      <c r="AL30" s="197"/>
      <c r="AM30" s="197"/>
      <c r="AN30" s="197"/>
      <c r="AO30" s="197"/>
      <c r="AP30" s="197"/>
      <c r="AQ30" s="197"/>
      <c r="AR30" s="321"/>
      <c r="AS30" s="376"/>
    </row>
    <row r="31" spans="2:45" x14ac:dyDescent="0.25">
      <c r="B31" s="118">
        <v>228</v>
      </c>
      <c r="C31" s="119" t="s">
        <v>82</v>
      </c>
      <c r="D31" s="120">
        <v>33.200000000000003</v>
      </c>
      <c r="E31" s="320"/>
      <c r="F31" s="197"/>
      <c r="G31" s="330">
        <v>2</v>
      </c>
      <c r="H31" s="196"/>
      <c r="I31" s="197"/>
      <c r="J31" s="197"/>
      <c r="K31" s="197"/>
      <c r="L31" s="197"/>
      <c r="M31" s="197"/>
      <c r="N31" s="197"/>
      <c r="O31" s="197"/>
      <c r="P31" s="197"/>
      <c r="Q31" s="197"/>
      <c r="R31" s="197"/>
      <c r="S31" s="321"/>
      <c r="T31" s="330"/>
      <c r="U31" s="331"/>
      <c r="V31" s="330"/>
      <c r="W31" s="320"/>
      <c r="X31" s="330"/>
      <c r="Y31" s="196"/>
      <c r="Z31" s="197"/>
      <c r="AA31" s="197"/>
      <c r="AB31" s="197"/>
      <c r="AC31" s="197"/>
      <c r="AD31" s="197"/>
      <c r="AE31" s="197"/>
      <c r="AF31" s="197"/>
      <c r="AG31" s="197"/>
      <c r="AH31" s="197"/>
      <c r="AI31" s="197"/>
      <c r="AJ31" s="197"/>
      <c r="AK31" s="197"/>
      <c r="AL31" s="197"/>
      <c r="AM31" s="197"/>
      <c r="AN31" s="197"/>
      <c r="AO31" s="197"/>
      <c r="AP31" s="197"/>
      <c r="AQ31" s="197"/>
      <c r="AR31" s="321"/>
      <c r="AS31" s="376"/>
    </row>
    <row r="32" spans="2:45" x14ac:dyDescent="0.25">
      <c r="B32" s="118">
        <v>229</v>
      </c>
      <c r="C32" s="119" t="s">
        <v>83</v>
      </c>
      <c r="D32" s="120">
        <v>22.2</v>
      </c>
      <c r="E32" s="320"/>
      <c r="F32" s="197"/>
      <c r="G32" s="330"/>
      <c r="H32" s="196"/>
      <c r="I32" s="197"/>
      <c r="J32" s="197"/>
      <c r="K32" s="197"/>
      <c r="L32" s="197"/>
      <c r="M32" s="197"/>
      <c r="N32" s="197"/>
      <c r="O32" s="197"/>
      <c r="P32" s="197"/>
      <c r="Q32" s="197"/>
      <c r="R32" s="197"/>
      <c r="S32" s="321"/>
      <c r="T32" s="330"/>
      <c r="U32" s="331"/>
      <c r="V32" s="330"/>
      <c r="W32" s="320">
        <v>6</v>
      </c>
      <c r="X32" s="330">
        <v>1</v>
      </c>
      <c r="Y32" s="196"/>
      <c r="Z32" s="197"/>
      <c r="AA32" s="197"/>
      <c r="AB32" s="197"/>
      <c r="AC32" s="197"/>
      <c r="AD32" s="197"/>
      <c r="AE32" s="197"/>
      <c r="AF32" s="197"/>
      <c r="AG32" s="197"/>
      <c r="AH32" s="197"/>
      <c r="AI32" s="197"/>
      <c r="AJ32" s="197"/>
      <c r="AK32" s="197"/>
      <c r="AL32" s="197"/>
      <c r="AM32" s="197"/>
      <c r="AN32" s="197"/>
      <c r="AO32" s="197"/>
      <c r="AP32" s="197"/>
      <c r="AQ32" s="197"/>
      <c r="AR32" s="321"/>
      <c r="AS32" s="376"/>
    </row>
    <row r="33" spans="2:45" x14ac:dyDescent="0.25">
      <c r="B33" s="118">
        <v>230</v>
      </c>
      <c r="C33" s="119" t="s">
        <v>84</v>
      </c>
      <c r="D33" s="120">
        <v>73.8</v>
      </c>
      <c r="E33" s="320"/>
      <c r="F33" s="197"/>
      <c r="G33" s="330"/>
      <c r="H33" s="196">
        <v>1</v>
      </c>
      <c r="I33" s="197">
        <v>6</v>
      </c>
      <c r="J33" s="197">
        <v>1</v>
      </c>
      <c r="K33" s="197"/>
      <c r="L33" s="197">
        <v>1</v>
      </c>
      <c r="M33" s="197">
        <v>4</v>
      </c>
      <c r="N33" s="197">
        <v>6</v>
      </c>
      <c r="O33" s="197">
        <v>3</v>
      </c>
      <c r="P33" s="197"/>
      <c r="Q33" s="197">
        <v>1</v>
      </c>
      <c r="R33" s="197"/>
      <c r="S33" s="321">
        <v>24</v>
      </c>
      <c r="T33" s="330">
        <v>1</v>
      </c>
      <c r="U33" s="331"/>
      <c r="V33" s="330"/>
      <c r="W33" s="320"/>
      <c r="X33" s="330"/>
      <c r="Y33" s="196"/>
      <c r="Z33" s="197"/>
      <c r="AA33" s="197"/>
      <c r="AB33" s="197"/>
      <c r="AC33" s="197"/>
      <c r="AD33" s="197"/>
      <c r="AE33" s="197"/>
      <c r="AF33" s="197"/>
      <c r="AG33" s="197"/>
      <c r="AH33" s="197"/>
      <c r="AI33" s="197"/>
      <c r="AJ33" s="197"/>
      <c r="AK33" s="197"/>
      <c r="AL33" s="197"/>
      <c r="AM33" s="197"/>
      <c r="AN33" s="197"/>
      <c r="AO33" s="197"/>
      <c r="AP33" s="197"/>
      <c r="AQ33" s="197"/>
      <c r="AR33" s="321"/>
      <c r="AS33" s="376"/>
    </row>
    <row r="34" spans="2:45" x14ac:dyDescent="0.25">
      <c r="B34" s="118">
        <v>231</v>
      </c>
      <c r="C34" s="119" t="s">
        <v>85</v>
      </c>
      <c r="D34" s="120">
        <v>50</v>
      </c>
      <c r="E34" s="320"/>
      <c r="F34" s="197"/>
      <c r="G34" s="330"/>
      <c r="H34" s="196"/>
      <c r="I34" s="197"/>
      <c r="J34" s="197"/>
      <c r="K34" s="197"/>
      <c r="L34" s="197"/>
      <c r="M34" s="197"/>
      <c r="N34" s="197"/>
      <c r="O34" s="197"/>
      <c r="P34" s="197"/>
      <c r="Q34" s="197"/>
      <c r="R34" s="197"/>
      <c r="S34" s="321"/>
      <c r="T34" s="330"/>
      <c r="U34" s="331">
        <v>4</v>
      </c>
      <c r="V34" s="330">
        <v>3</v>
      </c>
      <c r="W34" s="320"/>
      <c r="X34" s="330"/>
      <c r="Y34" s="196"/>
      <c r="Z34" s="197"/>
      <c r="AA34" s="197"/>
      <c r="AB34" s="197"/>
      <c r="AC34" s="197"/>
      <c r="AD34" s="197"/>
      <c r="AE34" s="197"/>
      <c r="AF34" s="197"/>
      <c r="AG34" s="197"/>
      <c r="AH34" s="197"/>
      <c r="AI34" s="197"/>
      <c r="AJ34" s="197"/>
      <c r="AK34" s="197"/>
      <c r="AL34" s="197"/>
      <c r="AM34" s="197"/>
      <c r="AN34" s="197"/>
      <c r="AO34" s="197"/>
      <c r="AP34" s="197"/>
      <c r="AQ34" s="197"/>
      <c r="AR34" s="321"/>
      <c r="AS34" s="376"/>
    </row>
    <row r="35" spans="2:45" x14ac:dyDescent="0.25">
      <c r="B35" s="118">
        <v>232</v>
      </c>
      <c r="C35" s="119" t="s">
        <v>86</v>
      </c>
      <c r="D35" s="120">
        <v>22.7</v>
      </c>
      <c r="E35" s="320"/>
      <c r="F35" s="197"/>
      <c r="G35" s="330"/>
      <c r="H35" s="196"/>
      <c r="I35" s="197"/>
      <c r="J35" s="197"/>
      <c r="K35" s="197"/>
      <c r="L35" s="197"/>
      <c r="M35" s="197"/>
      <c r="N35" s="197"/>
      <c r="O35" s="197"/>
      <c r="P35" s="197"/>
      <c r="Q35" s="197"/>
      <c r="R35" s="197"/>
      <c r="S35" s="321"/>
      <c r="T35" s="330"/>
      <c r="U35" s="331"/>
      <c r="V35" s="330"/>
      <c r="W35" s="320">
        <v>6</v>
      </c>
      <c r="X35" s="330">
        <v>1</v>
      </c>
      <c r="Y35" s="196"/>
      <c r="Z35" s="197"/>
      <c r="AA35" s="197"/>
      <c r="AB35" s="197"/>
      <c r="AC35" s="197"/>
      <c r="AD35" s="197"/>
      <c r="AE35" s="197"/>
      <c r="AF35" s="197"/>
      <c r="AG35" s="197"/>
      <c r="AH35" s="197"/>
      <c r="AI35" s="197"/>
      <c r="AJ35" s="197"/>
      <c r="AK35" s="197"/>
      <c r="AL35" s="197"/>
      <c r="AM35" s="197"/>
      <c r="AN35" s="197"/>
      <c r="AO35" s="197"/>
      <c r="AP35" s="197"/>
      <c r="AQ35" s="197"/>
      <c r="AR35" s="321"/>
      <c r="AS35" s="376"/>
    </row>
    <row r="36" spans="2:45" x14ac:dyDescent="0.25">
      <c r="B36" s="118">
        <v>233</v>
      </c>
      <c r="C36" s="119" t="s">
        <v>87</v>
      </c>
      <c r="D36" s="120">
        <v>73.8</v>
      </c>
      <c r="E36" s="320"/>
      <c r="F36" s="197"/>
      <c r="G36" s="330"/>
      <c r="H36" s="196">
        <v>1</v>
      </c>
      <c r="I36" s="197">
        <v>6</v>
      </c>
      <c r="J36" s="197">
        <v>1</v>
      </c>
      <c r="K36" s="197"/>
      <c r="L36" s="197">
        <v>1</v>
      </c>
      <c r="M36" s="197">
        <v>4</v>
      </c>
      <c r="N36" s="197">
        <v>6</v>
      </c>
      <c r="O36" s="197">
        <v>2</v>
      </c>
      <c r="P36" s="197">
        <v>2</v>
      </c>
      <c r="Q36" s="197">
        <v>1</v>
      </c>
      <c r="R36" s="197"/>
      <c r="S36" s="321">
        <v>24</v>
      </c>
      <c r="T36" s="330">
        <v>1</v>
      </c>
      <c r="U36" s="331"/>
      <c r="V36" s="330"/>
      <c r="W36" s="320"/>
      <c r="X36" s="330"/>
      <c r="Y36" s="196"/>
      <c r="Z36" s="197"/>
      <c r="AA36" s="197"/>
      <c r="AB36" s="197"/>
      <c r="AC36" s="197"/>
      <c r="AD36" s="197"/>
      <c r="AE36" s="197"/>
      <c r="AF36" s="197"/>
      <c r="AG36" s="197"/>
      <c r="AH36" s="197"/>
      <c r="AI36" s="197"/>
      <c r="AJ36" s="197"/>
      <c r="AK36" s="197"/>
      <c r="AL36" s="197"/>
      <c r="AM36" s="197"/>
      <c r="AN36" s="197"/>
      <c r="AO36" s="197"/>
      <c r="AP36" s="197"/>
      <c r="AQ36" s="197"/>
      <c r="AR36" s="321"/>
      <c r="AS36" s="376"/>
    </row>
    <row r="37" spans="2:45" x14ac:dyDescent="0.25">
      <c r="B37" s="118">
        <v>234</v>
      </c>
      <c r="C37" s="119" t="s">
        <v>88</v>
      </c>
      <c r="D37" s="120">
        <v>48.5</v>
      </c>
      <c r="E37" s="320"/>
      <c r="F37" s="197"/>
      <c r="G37" s="330"/>
      <c r="H37" s="196"/>
      <c r="I37" s="197"/>
      <c r="J37" s="197"/>
      <c r="K37" s="197"/>
      <c r="L37" s="197"/>
      <c r="M37" s="197"/>
      <c r="N37" s="197"/>
      <c r="O37" s="197"/>
      <c r="P37" s="197"/>
      <c r="Q37" s="197"/>
      <c r="R37" s="197"/>
      <c r="S37" s="321"/>
      <c r="T37" s="330"/>
      <c r="U37" s="331">
        <v>4</v>
      </c>
      <c r="V37" s="330">
        <v>3</v>
      </c>
      <c r="W37" s="320"/>
      <c r="X37" s="330"/>
      <c r="Y37" s="196"/>
      <c r="Z37" s="197"/>
      <c r="AA37" s="197"/>
      <c r="AB37" s="197"/>
      <c r="AC37" s="197"/>
      <c r="AD37" s="197"/>
      <c r="AE37" s="197"/>
      <c r="AF37" s="197"/>
      <c r="AG37" s="197"/>
      <c r="AH37" s="197"/>
      <c r="AI37" s="197"/>
      <c r="AJ37" s="197"/>
      <c r="AK37" s="197"/>
      <c r="AL37" s="197"/>
      <c r="AM37" s="197"/>
      <c r="AN37" s="197"/>
      <c r="AO37" s="197"/>
      <c r="AP37" s="197"/>
      <c r="AQ37" s="197"/>
      <c r="AR37" s="321"/>
      <c r="AS37" s="376"/>
    </row>
    <row r="38" spans="2:45" x14ac:dyDescent="0.25">
      <c r="B38" s="118">
        <v>235</v>
      </c>
      <c r="C38" s="119" t="s">
        <v>89</v>
      </c>
      <c r="D38" s="120">
        <v>14.6</v>
      </c>
      <c r="E38" s="320">
        <v>1</v>
      </c>
      <c r="F38" s="197">
        <v>2</v>
      </c>
      <c r="G38" s="330"/>
      <c r="H38" s="196"/>
      <c r="I38" s="197"/>
      <c r="J38" s="197"/>
      <c r="K38" s="197"/>
      <c r="L38" s="197"/>
      <c r="M38" s="197"/>
      <c r="N38" s="197"/>
      <c r="O38" s="197"/>
      <c r="P38" s="197"/>
      <c r="Q38" s="197"/>
      <c r="R38" s="197"/>
      <c r="S38" s="321"/>
      <c r="T38" s="330"/>
      <c r="U38" s="331"/>
      <c r="V38" s="330"/>
      <c r="W38" s="320"/>
      <c r="X38" s="330"/>
      <c r="Y38" s="196"/>
      <c r="Z38" s="197"/>
      <c r="AA38" s="197"/>
      <c r="AB38" s="197"/>
      <c r="AC38" s="197"/>
      <c r="AD38" s="197"/>
      <c r="AE38" s="197"/>
      <c r="AF38" s="197"/>
      <c r="AG38" s="197"/>
      <c r="AH38" s="197"/>
      <c r="AI38" s="197"/>
      <c r="AJ38" s="197"/>
      <c r="AK38" s="197"/>
      <c r="AL38" s="197"/>
      <c r="AM38" s="197"/>
      <c r="AN38" s="197"/>
      <c r="AO38" s="197"/>
      <c r="AP38" s="197"/>
      <c r="AQ38" s="197"/>
      <c r="AR38" s="321"/>
      <c r="AS38" s="376"/>
    </row>
    <row r="39" spans="2:45" x14ac:dyDescent="0.25">
      <c r="B39" s="118">
        <v>236</v>
      </c>
      <c r="C39" s="119" t="s">
        <v>11</v>
      </c>
      <c r="D39" s="120">
        <v>25.2</v>
      </c>
      <c r="E39" s="118"/>
      <c r="F39" s="121"/>
      <c r="G39" s="120"/>
      <c r="H39" s="204"/>
      <c r="I39" s="121"/>
      <c r="J39" s="121"/>
      <c r="K39" s="121"/>
      <c r="L39" s="121"/>
      <c r="M39" s="121"/>
      <c r="N39" s="121"/>
      <c r="O39" s="121"/>
      <c r="P39" s="121"/>
      <c r="Q39" s="121"/>
      <c r="R39" s="121"/>
      <c r="S39" s="212"/>
      <c r="T39" s="120"/>
      <c r="U39" s="332"/>
      <c r="V39" s="120"/>
      <c r="W39" s="118"/>
      <c r="X39" s="120"/>
      <c r="Y39" s="204"/>
      <c r="Z39" s="121"/>
      <c r="AA39" s="121"/>
      <c r="AB39" s="121"/>
      <c r="AC39" s="121"/>
      <c r="AD39" s="121"/>
      <c r="AE39" s="121"/>
      <c r="AF39" s="121"/>
      <c r="AG39" s="121"/>
      <c r="AH39" s="121"/>
      <c r="AI39" s="121"/>
      <c r="AJ39" s="121"/>
      <c r="AK39" s="121"/>
      <c r="AL39" s="121"/>
      <c r="AM39" s="121"/>
      <c r="AN39" s="121"/>
      <c r="AO39" s="121"/>
      <c r="AP39" s="121"/>
      <c r="AQ39" s="121"/>
      <c r="AR39" s="212"/>
      <c r="AS39" s="377"/>
    </row>
    <row r="40" spans="2:45" x14ac:dyDescent="0.25">
      <c r="B40" s="118">
        <v>237</v>
      </c>
      <c r="C40" s="119" t="s">
        <v>90</v>
      </c>
      <c r="D40" s="120">
        <v>23.8</v>
      </c>
      <c r="E40" s="118"/>
      <c r="F40" s="121"/>
      <c r="G40" s="120"/>
      <c r="H40" s="204"/>
      <c r="I40" s="121"/>
      <c r="J40" s="121"/>
      <c r="K40" s="121">
        <v>1</v>
      </c>
      <c r="L40" s="121">
        <v>1</v>
      </c>
      <c r="M40" s="121"/>
      <c r="N40" s="121"/>
      <c r="O40" s="121">
        <v>2</v>
      </c>
      <c r="P40" s="121">
        <v>1</v>
      </c>
      <c r="Q40" s="121"/>
      <c r="R40" s="121">
        <v>4</v>
      </c>
      <c r="S40" s="212">
        <v>4</v>
      </c>
      <c r="T40" s="120"/>
      <c r="U40" s="332"/>
      <c r="V40" s="120"/>
      <c r="W40" s="118"/>
      <c r="X40" s="120"/>
      <c r="Y40" s="204"/>
      <c r="Z40" s="121"/>
      <c r="AA40" s="121"/>
      <c r="AB40" s="121">
        <v>1</v>
      </c>
      <c r="AC40" s="121">
        <v>1</v>
      </c>
      <c r="AD40" s="121"/>
      <c r="AE40" s="121"/>
      <c r="AF40" s="121"/>
      <c r="AG40" s="121">
        <v>1</v>
      </c>
      <c r="AH40" s="121">
        <v>2</v>
      </c>
      <c r="AI40" s="121"/>
      <c r="AJ40" s="121"/>
      <c r="AK40" s="121"/>
      <c r="AL40" s="121"/>
      <c r="AM40" s="121"/>
      <c r="AN40" s="121"/>
      <c r="AO40" s="121"/>
      <c r="AP40" s="121"/>
      <c r="AQ40" s="121"/>
      <c r="AR40" s="212"/>
      <c r="AS40" s="377"/>
    </row>
    <row r="41" spans="2:45" x14ac:dyDescent="0.25">
      <c r="B41" s="118">
        <v>238</v>
      </c>
      <c r="C41" s="119" t="s">
        <v>91</v>
      </c>
      <c r="D41" s="120">
        <v>22.2</v>
      </c>
      <c r="E41" s="118"/>
      <c r="F41" s="121"/>
      <c r="G41" s="120"/>
      <c r="H41" s="204"/>
      <c r="I41" s="121"/>
      <c r="J41" s="121"/>
      <c r="K41" s="121"/>
      <c r="L41" s="121"/>
      <c r="M41" s="121"/>
      <c r="N41" s="121"/>
      <c r="O41" s="121">
        <v>2</v>
      </c>
      <c r="P41" s="121">
        <v>2</v>
      </c>
      <c r="Q41" s="121"/>
      <c r="R41" s="121"/>
      <c r="S41" s="212"/>
      <c r="T41" s="120">
        <v>1</v>
      </c>
      <c r="U41" s="332"/>
      <c r="V41" s="120"/>
      <c r="W41" s="118"/>
      <c r="X41" s="120"/>
      <c r="Y41" s="204">
        <v>1</v>
      </c>
      <c r="Z41" s="121">
        <v>1</v>
      </c>
      <c r="AA41" s="121">
        <v>1</v>
      </c>
      <c r="AB41" s="121">
        <v>1</v>
      </c>
      <c r="AC41" s="121">
        <v>1</v>
      </c>
      <c r="AD41" s="121"/>
      <c r="AE41" s="121"/>
      <c r="AF41" s="121"/>
      <c r="AG41" s="121"/>
      <c r="AH41" s="121"/>
      <c r="AI41" s="121"/>
      <c r="AJ41" s="121"/>
      <c r="AK41" s="121"/>
      <c r="AL41" s="121"/>
      <c r="AM41" s="121"/>
      <c r="AN41" s="121"/>
      <c r="AO41" s="121"/>
      <c r="AP41" s="121"/>
      <c r="AQ41" s="121"/>
      <c r="AR41" s="212"/>
      <c r="AS41" s="377"/>
    </row>
    <row r="42" spans="2:45" x14ac:dyDescent="0.25">
      <c r="B42" s="118">
        <v>239</v>
      </c>
      <c r="C42" s="119" t="s">
        <v>17</v>
      </c>
      <c r="D42" s="120">
        <v>5.0999999999999996</v>
      </c>
      <c r="E42" s="118"/>
      <c r="F42" s="121"/>
      <c r="G42" s="120"/>
      <c r="H42" s="204"/>
      <c r="I42" s="121"/>
      <c r="J42" s="121"/>
      <c r="K42" s="121"/>
      <c r="L42" s="121"/>
      <c r="M42" s="121"/>
      <c r="N42" s="121"/>
      <c r="O42" s="121"/>
      <c r="P42" s="121"/>
      <c r="Q42" s="121"/>
      <c r="R42" s="121"/>
      <c r="S42" s="212"/>
      <c r="T42" s="120"/>
      <c r="U42" s="332"/>
      <c r="V42" s="120"/>
      <c r="W42" s="118"/>
      <c r="X42" s="120"/>
      <c r="Y42" s="204"/>
      <c r="Z42" s="121"/>
      <c r="AA42" s="121"/>
      <c r="AB42" s="121"/>
      <c r="AC42" s="121"/>
      <c r="AD42" s="121"/>
      <c r="AE42" s="121"/>
      <c r="AF42" s="121"/>
      <c r="AG42" s="121"/>
      <c r="AH42" s="121"/>
      <c r="AI42" s="121"/>
      <c r="AJ42" s="121"/>
      <c r="AK42" s="121"/>
      <c r="AL42" s="121"/>
      <c r="AM42" s="121"/>
      <c r="AN42" s="121"/>
      <c r="AO42" s="121"/>
      <c r="AP42" s="121"/>
      <c r="AQ42" s="121"/>
      <c r="AR42" s="212"/>
      <c r="AS42" s="377"/>
    </row>
    <row r="43" spans="2:45" x14ac:dyDescent="0.25">
      <c r="B43" s="118">
        <v>240</v>
      </c>
      <c r="C43" s="119" t="s">
        <v>16</v>
      </c>
      <c r="D43" s="120">
        <v>37.299999999999997</v>
      </c>
      <c r="E43" s="118"/>
      <c r="F43" s="121"/>
      <c r="G43" s="120"/>
      <c r="H43" s="204"/>
      <c r="I43" s="121"/>
      <c r="J43" s="121"/>
      <c r="K43" s="121"/>
      <c r="L43" s="121"/>
      <c r="M43" s="121"/>
      <c r="N43" s="121"/>
      <c r="O43" s="121"/>
      <c r="P43" s="121"/>
      <c r="Q43" s="121"/>
      <c r="R43" s="121"/>
      <c r="S43" s="212"/>
      <c r="T43" s="120"/>
      <c r="U43" s="332"/>
      <c r="V43" s="120"/>
      <c r="W43" s="118"/>
      <c r="X43" s="120"/>
      <c r="Y43" s="204"/>
      <c r="Z43" s="121"/>
      <c r="AA43" s="121"/>
      <c r="AB43" s="121"/>
      <c r="AC43" s="121"/>
      <c r="AD43" s="121"/>
      <c r="AE43" s="121"/>
      <c r="AF43" s="121"/>
      <c r="AG43" s="121"/>
      <c r="AH43" s="121"/>
      <c r="AI43" s="121"/>
      <c r="AJ43" s="121"/>
      <c r="AK43" s="121"/>
      <c r="AL43" s="121"/>
      <c r="AM43" s="121"/>
      <c r="AN43" s="121"/>
      <c r="AO43" s="121"/>
      <c r="AP43" s="121"/>
      <c r="AQ43" s="121"/>
      <c r="AR43" s="212"/>
      <c r="AS43" s="377"/>
    </row>
    <row r="44" spans="2:45" x14ac:dyDescent="0.25">
      <c r="B44" s="118">
        <v>241</v>
      </c>
      <c r="C44" s="119" t="s">
        <v>92</v>
      </c>
      <c r="D44" s="120">
        <v>18.3</v>
      </c>
      <c r="E44" s="118"/>
      <c r="F44" s="121"/>
      <c r="G44" s="120"/>
      <c r="H44" s="204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212"/>
      <c r="T44" s="120"/>
      <c r="U44" s="332"/>
      <c r="V44" s="120"/>
      <c r="W44" s="118"/>
      <c r="X44" s="120"/>
      <c r="Y44" s="204"/>
      <c r="Z44" s="121"/>
      <c r="AA44" s="121"/>
      <c r="AB44" s="121"/>
      <c r="AC44" s="121"/>
      <c r="AD44" s="121"/>
      <c r="AE44" s="121">
        <v>1</v>
      </c>
      <c r="AF44" s="121"/>
      <c r="AG44" s="121"/>
      <c r="AH44" s="121"/>
      <c r="AI44" s="121">
        <v>13</v>
      </c>
      <c r="AJ44" s="121"/>
      <c r="AK44" s="121"/>
      <c r="AL44" s="121">
        <v>1</v>
      </c>
      <c r="AM44" s="121"/>
      <c r="AN44" s="121"/>
      <c r="AO44" s="121"/>
      <c r="AP44" s="121"/>
      <c r="AQ44" s="121"/>
      <c r="AR44" s="212"/>
      <c r="AS44" s="377"/>
    </row>
    <row r="45" spans="2:45" x14ac:dyDescent="0.25">
      <c r="B45" s="118">
        <v>242</v>
      </c>
      <c r="C45" s="119" t="s">
        <v>65</v>
      </c>
      <c r="D45" s="120">
        <v>24.9</v>
      </c>
      <c r="E45" s="118"/>
      <c r="F45" s="121"/>
      <c r="G45" s="120"/>
      <c r="H45" s="204"/>
      <c r="I45" s="121"/>
      <c r="J45" s="121"/>
      <c r="K45" s="121"/>
      <c r="L45" s="121"/>
      <c r="M45" s="121"/>
      <c r="N45" s="121"/>
      <c r="O45" s="121"/>
      <c r="P45" s="121"/>
      <c r="Q45" s="121"/>
      <c r="R45" s="121"/>
      <c r="S45" s="212"/>
      <c r="T45" s="120"/>
      <c r="U45" s="332"/>
      <c r="V45" s="120"/>
      <c r="W45" s="118"/>
      <c r="X45" s="120"/>
      <c r="Y45" s="204"/>
      <c r="Z45" s="121"/>
      <c r="AA45" s="121"/>
      <c r="AB45" s="121"/>
      <c r="AC45" s="121"/>
      <c r="AD45" s="121"/>
      <c r="AE45" s="121"/>
      <c r="AF45" s="121"/>
      <c r="AG45" s="121"/>
      <c r="AH45" s="121"/>
      <c r="AI45" s="121"/>
      <c r="AJ45" s="121"/>
      <c r="AK45" s="121"/>
      <c r="AL45" s="121"/>
      <c r="AM45" s="121"/>
      <c r="AN45" s="121"/>
      <c r="AO45" s="121"/>
      <c r="AP45" s="121"/>
      <c r="AQ45" s="121"/>
      <c r="AR45" s="212"/>
      <c r="AS45" s="377"/>
    </row>
    <row r="46" spans="2:45" x14ac:dyDescent="0.25">
      <c r="B46" s="118">
        <v>243</v>
      </c>
      <c r="C46" s="119" t="s">
        <v>11</v>
      </c>
      <c r="D46" s="120">
        <v>2.7</v>
      </c>
      <c r="E46" s="118"/>
      <c r="F46" s="121"/>
      <c r="G46" s="120"/>
      <c r="H46" s="204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212"/>
      <c r="T46" s="120"/>
      <c r="U46" s="332"/>
      <c r="V46" s="120"/>
      <c r="W46" s="118"/>
      <c r="X46" s="120"/>
      <c r="Y46" s="204"/>
      <c r="Z46" s="121"/>
      <c r="AA46" s="121"/>
      <c r="AB46" s="121"/>
      <c r="AC46" s="121"/>
      <c r="AD46" s="121"/>
      <c r="AE46" s="121"/>
      <c r="AF46" s="121"/>
      <c r="AG46" s="121"/>
      <c r="AH46" s="121"/>
      <c r="AI46" s="121"/>
      <c r="AJ46" s="121"/>
      <c r="AK46" s="121"/>
      <c r="AL46" s="121"/>
      <c r="AM46" s="121"/>
      <c r="AN46" s="121"/>
      <c r="AO46" s="121"/>
      <c r="AP46" s="121"/>
      <c r="AQ46" s="121"/>
      <c r="AR46" s="212"/>
      <c r="AS46" s="377"/>
    </row>
    <row r="47" spans="2:45" x14ac:dyDescent="0.25">
      <c r="B47" s="118">
        <v>244</v>
      </c>
      <c r="C47" s="119" t="s">
        <v>12</v>
      </c>
      <c r="D47" s="120">
        <v>20.100000000000001</v>
      </c>
      <c r="E47" s="118"/>
      <c r="F47" s="121"/>
      <c r="G47" s="120"/>
      <c r="H47" s="204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212"/>
      <c r="T47" s="120"/>
      <c r="U47" s="332"/>
      <c r="V47" s="120"/>
      <c r="W47" s="118"/>
      <c r="X47" s="120"/>
      <c r="Y47" s="204"/>
      <c r="Z47" s="121"/>
      <c r="AA47" s="121"/>
      <c r="AB47" s="121"/>
      <c r="AC47" s="121"/>
      <c r="AD47" s="121"/>
      <c r="AE47" s="121"/>
      <c r="AF47" s="121"/>
      <c r="AG47" s="121"/>
      <c r="AH47" s="121"/>
      <c r="AI47" s="121"/>
      <c r="AJ47" s="121"/>
      <c r="AK47" s="121"/>
      <c r="AL47" s="121"/>
      <c r="AM47" s="121"/>
      <c r="AN47" s="121"/>
      <c r="AO47" s="121"/>
      <c r="AP47" s="121"/>
      <c r="AQ47" s="121"/>
      <c r="AR47" s="212"/>
      <c r="AS47" s="377"/>
    </row>
    <row r="48" spans="2:45" x14ac:dyDescent="0.25">
      <c r="B48" s="118">
        <v>245</v>
      </c>
      <c r="C48" s="119" t="s">
        <v>65</v>
      </c>
      <c r="D48" s="120">
        <v>24.9</v>
      </c>
      <c r="E48" s="118"/>
      <c r="F48" s="121"/>
      <c r="G48" s="120"/>
      <c r="H48" s="204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212"/>
      <c r="T48" s="120"/>
      <c r="U48" s="332"/>
      <c r="V48" s="120"/>
      <c r="W48" s="118"/>
      <c r="X48" s="120"/>
      <c r="Y48" s="204"/>
      <c r="Z48" s="121"/>
      <c r="AA48" s="121"/>
      <c r="AB48" s="121"/>
      <c r="AC48" s="121"/>
      <c r="AD48" s="121"/>
      <c r="AE48" s="121"/>
      <c r="AF48" s="121"/>
      <c r="AG48" s="121"/>
      <c r="AH48" s="121"/>
      <c r="AI48" s="121"/>
      <c r="AJ48" s="121"/>
      <c r="AK48" s="121"/>
      <c r="AL48" s="121"/>
      <c r="AM48" s="121"/>
      <c r="AN48" s="121"/>
      <c r="AO48" s="121"/>
      <c r="AP48" s="121"/>
      <c r="AQ48" s="121"/>
      <c r="AR48" s="212"/>
      <c r="AS48" s="377"/>
    </row>
    <row r="49" spans="2:45" x14ac:dyDescent="0.25">
      <c r="B49" s="118">
        <v>246</v>
      </c>
      <c r="C49" s="119" t="s">
        <v>93</v>
      </c>
      <c r="D49" s="120">
        <v>128.69999999999999</v>
      </c>
      <c r="E49" s="118"/>
      <c r="F49" s="121"/>
      <c r="G49" s="120"/>
      <c r="H49" s="204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212"/>
      <c r="T49" s="120"/>
      <c r="U49" s="332"/>
      <c r="V49" s="120"/>
      <c r="W49" s="118"/>
      <c r="X49" s="120"/>
      <c r="Y49" s="204"/>
      <c r="Z49" s="121"/>
      <c r="AA49" s="121"/>
      <c r="AB49" s="121"/>
      <c r="AC49" s="121"/>
      <c r="AD49" s="121"/>
      <c r="AE49" s="121"/>
      <c r="AF49" s="121"/>
      <c r="AG49" s="121"/>
      <c r="AH49" s="121"/>
      <c r="AI49" s="121"/>
      <c r="AJ49" s="121"/>
      <c r="AK49" s="121"/>
      <c r="AL49" s="121"/>
      <c r="AM49" s="121"/>
      <c r="AN49" s="121"/>
      <c r="AO49" s="121"/>
      <c r="AP49" s="121"/>
      <c r="AQ49" s="121"/>
      <c r="AR49" s="212"/>
      <c r="AS49" s="377">
        <v>2</v>
      </c>
    </row>
    <row r="50" spans="2:45" ht="15.75" thickBot="1" x14ac:dyDescent="0.3">
      <c r="B50" s="118">
        <v>247</v>
      </c>
      <c r="C50" s="119" t="s">
        <v>94</v>
      </c>
      <c r="D50" s="129">
        <v>16.2</v>
      </c>
      <c r="E50" s="84"/>
      <c r="F50" s="224"/>
      <c r="G50" s="85"/>
      <c r="H50" s="323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89"/>
      <c r="T50" s="85"/>
      <c r="U50" s="361"/>
      <c r="V50" s="85"/>
      <c r="W50" s="84"/>
      <c r="X50" s="85"/>
      <c r="Y50" s="323"/>
      <c r="Z50" s="224"/>
      <c r="AA50" s="224"/>
      <c r="AB50" s="224"/>
      <c r="AC50" s="224"/>
      <c r="AD50" s="224"/>
      <c r="AE50" s="224"/>
      <c r="AF50" s="224"/>
      <c r="AG50" s="224"/>
      <c r="AH50" s="224"/>
      <c r="AI50" s="224"/>
      <c r="AJ50" s="224"/>
      <c r="AK50" s="224"/>
      <c r="AL50" s="224"/>
      <c r="AM50" s="224"/>
      <c r="AN50" s="224"/>
      <c r="AO50" s="224"/>
      <c r="AP50" s="224"/>
      <c r="AQ50" s="224"/>
      <c r="AR50" s="89"/>
      <c r="AS50" s="378"/>
    </row>
    <row r="51" spans="2:45" x14ac:dyDescent="0.25">
      <c r="B51" s="86"/>
      <c r="C51" s="347" t="s">
        <v>0</v>
      </c>
      <c r="D51" s="137">
        <f>SUM(D4:D50)</f>
        <v>1671.8999999999999</v>
      </c>
      <c r="E51" s="379">
        <f>SUM(E5:E50)</f>
        <v>2</v>
      </c>
      <c r="F51" s="380">
        <f>SUM(F5:F50)</f>
        <v>4</v>
      </c>
      <c r="G51" s="381">
        <f>SUM(G5:G50)</f>
        <v>4</v>
      </c>
      <c r="H51" s="382">
        <f>SUM(H5:H50)</f>
        <v>6</v>
      </c>
      <c r="I51" s="380">
        <f t="shared" ref="I51:X51" si="0">SUM(I5:I50)</f>
        <v>36</v>
      </c>
      <c r="J51" s="380">
        <f t="shared" si="0"/>
        <v>8</v>
      </c>
      <c r="K51" s="380">
        <f t="shared" si="0"/>
        <v>1</v>
      </c>
      <c r="L51" s="380">
        <f t="shared" si="0"/>
        <v>9</v>
      </c>
      <c r="M51" s="380">
        <f t="shared" si="0"/>
        <v>24</v>
      </c>
      <c r="N51" s="380">
        <f t="shared" si="0"/>
        <v>36</v>
      </c>
      <c r="O51" s="380">
        <f t="shared" si="0"/>
        <v>20</v>
      </c>
      <c r="P51" s="380">
        <f t="shared" si="0"/>
        <v>11</v>
      </c>
      <c r="Q51" s="380">
        <f t="shared" si="0"/>
        <v>6</v>
      </c>
      <c r="R51" s="380">
        <f t="shared" si="0"/>
        <v>16</v>
      </c>
      <c r="S51" s="383">
        <f t="shared" si="0"/>
        <v>184</v>
      </c>
      <c r="T51" s="381">
        <f t="shared" si="0"/>
        <v>9</v>
      </c>
      <c r="U51" s="384">
        <f t="shared" si="0"/>
        <v>24</v>
      </c>
      <c r="V51" s="381">
        <f t="shared" si="0"/>
        <v>18</v>
      </c>
      <c r="W51" s="379">
        <f t="shared" si="0"/>
        <v>36</v>
      </c>
      <c r="X51" s="381">
        <f t="shared" si="0"/>
        <v>6</v>
      </c>
      <c r="Y51" s="382">
        <f t="shared" ref="Y51:AR51" si="1">SUM(Y5:Y50)</f>
        <v>1</v>
      </c>
      <c r="Z51" s="380">
        <f t="shared" si="1"/>
        <v>1</v>
      </c>
      <c r="AA51" s="380">
        <f t="shared" si="1"/>
        <v>1</v>
      </c>
      <c r="AB51" s="380">
        <f t="shared" si="1"/>
        <v>2</v>
      </c>
      <c r="AC51" s="380">
        <f t="shared" si="1"/>
        <v>2</v>
      </c>
      <c r="AD51" s="380">
        <f t="shared" si="1"/>
        <v>13</v>
      </c>
      <c r="AE51" s="380">
        <f t="shared" si="1"/>
        <v>1</v>
      </c>
      <c r="AF51" s="380">
        <f t="shared" si="1"/>
        <v>2</v>
      </c>
      <c r="AG51" s="380">
        <f t="shared" si="1"/>
        <v>1</v>
      </c>
      <c r="AH51" s="380">
        <f t="shared" si="1"/>
        <v>2</v>
      </c>
      <c r="AI51" s="380">
        <f t="shared" si="1"/>
        <v>13</v>
      </c>
      <c r="AJ51" s="380">
        <f t="shared" si="1"/>
        <v>3</v>
      </c>
      <c r="AK51" s="380">
        <f t="shared" si="1"/>
        <v>1</v>
      </c>
      <c r="AL51" s="380">
        <f t="shared" si="1"/>
        <v>1</v>
      </c>
      <c r="AM51" s="380">
        <f t="shared" si="1"/>
        <v>1</v>
      </c>
      <c r="AN51" s="380">
        <f t="shared" si="1"/>
        <v>1</v>
      </c>
      <c r="AO51" s="380">
        <f t="shared" si="1"/>
        <v>1</v>
      </c>
      <c r="AP51" s="380">
        <f t="shared" si="1"/>
        <v>1</v>
      </c>
      <c r="AQ51" s="380">
        <f t="shared" si="1"/>
        <v>1</v>
      </c>
      <c r="AR51" s="383">
        <f t="shared" si="1"/>
        <v>1</v>
      </c>
      <c r="AS51" s="385">
        <f t="shared" ref="AS51" si="2">SUM(AS5:AS50)</f>
        <v>2</v>
      </c>
    </row>
    <row r="52" spans="2:45" ht="15.75" thickBot="1" x14ac:dyDescent="0.3">
      <c r="B52" s="141"/>
      <c r="C52" s="142" t="s">
        <v>96</v>
      </c>
      <c r="D52" s="143">
        <f>D51+gridas_1st!D75+'gridas_3 st'!D6</f>
        <v>3484.4999999999995</v>
      </c>
      <c r="E52" s="141">
        <f>E51+mebeles_1st!E75</f>
        <v>4</v>
      </c>
      <c r="F52" s="143">
        <f>F51+mebeles_1st!F75</f>
        <v>8</v>
      </c>
      <c r="G52" s="98">
        <f>G51+mebeles_1st!G75</f>
        <v>8</v>
      </c>
      <c r="H52" s="386">
        <f>H51</f>
        <v>6</v>
      </c>
      <c r="I52" s="143">
        <f>I51</f>
        <v>36</v>
      </c>
      <c r="J52" s="143">
        <f>J51+mebeles_1st!J75</f>
        <v>14</v>
      </c>
      <c r="K52" s="143">
        <f>K51+mebeles_1st!K75</f>
        <v>2</v>
      </c>
      <c r="L52" s="143">
        <f>L51+mebeles_1st!L75</f>
        <v>16</v>
      </c>
      <c r="M52" s="143">
        <f>M51+mebeles_1st!M75</f>
        <v>48</v>
      </c>
      <c r="N52" s="143">
        <f>N51+mebeles_1st!N75</f>
        <v>72</v>
      </c>
      <c r="O52" s="143">
        <f>O51+mebeles_1st!O75</f>
        <v>39</v>
      </c>
      <c r="P52" s="143">
        <f>P51+mebeles_1st!P75</f>
        <v>16</v>
      </c>
      <c r="Q52" s="143">
        <f>Q51+mebeles_1st!Q75</f>
        <v>12</v>
      </c>
      <c r="R52" s="143">
        <f>R51+mebeles_1st!R75</f>
        <v>223</v>
      </c>
      <c r="S52" s="144">
        <f>S51+mebeles_1st!S75</f>
        <v>289</v>
      </c>
      <c r="T52" s="98">
        <f>T51+mebeles_1st!T75</f>
        <v>20</v>
      </c>
      <c r="U52" s="387">
        <f>U51+mebeles_1st!U75</f>
        <v>48</v>
      </c>
      <c r="V52" s="98">
        <f>V51+mebeles_1st!V75</f>
        <v>36</v>
      </c>
      <c r="W52" s="141">
        <f>W51+mebeles_1st!W75</f>
        <v>72</v>
      </c>
      <c r="X52" s="98">
        <f>X51+mebeles_1st!X75</f>
        <v>12</v>
      </c>
      <c r="Y52" s="386">
        <f>Y51+mebeles_1st!Y75</f>
        <v>3</v>
      </c>
      <c r="Z52" s="143">
        <f>Z51+mebeles_1st!Z75</f>
        <v>3</v>
      </c>
      <c r="AA52" s="143">
        <f>AA51+mebeles_1st!AA75</f>
        <v>3</v>
      </c>
      <c r="AB52" s="143">
        <f>AB51+mebeles_1st!AB75</f>
        <v>4</v>
      </c>
      <c r="AC52" s="143">
        <f>AC51+mebeles_1st!AC75</f>
        <v>4</v>
      </c>
      <c r="AD52" s="143">
        <f>AD51+mebeles_1st!AD75</f>
        <v>117</v>
      </c>
      <c r="AE52" s="143">
        <f>AE51+mebeles_1st!AF75</f>
        <v>3</v>
      </c>
      <c r="AF52" s="143">
        <f>AF51+mebeles_1st!AK75</f>
        <v>4</v>
      </c>
      <c r="AG52" s="143">
        <f>AG51</f>
        <v>1</v>
      </c>
      <c r="AH52" s="143">
        <f>AH51</f>
        <v>2</v>
      </c>
      <c r="AI52" s="143">
        <f>AI51</f>
        <v>13</v>
      </c>
      <c r="AJ52" s="143">
        <f>AJ51+mebeles_1st!AL75</f>
        <v>7</v>
      </c>
      <c r="AK52" s="143">
        <f>AK51+mebeles_1st!AM75</f>
        <v>3</v>
      </c>
      <c r="AL52" s="143">
        <f>AL51+mebeles_1st!AO75</f>
        <v>2</v>
      </c>
      <c r="AM52" s="143">
        <f t="shared" ref="AM52:AR52" si="3">AM51</f>
        <v>1</v>
      </c>
      <c r="AN52" s="143">
        <f t="shared" si="3"/>
        <v>1</v>
      </c>
      <c r="AO52" s="143">
        <f t="shared" si="3"/>
        <v>1</v>
      </c>
      <c r="AP52" s="143">
        <f t="shared" si="3"/>
        <v>1</v>
      </c>
      <c r="AQ52" s="143">
        <f t="shared" si="3"/>
        <v>1</v>
      </c>
      <c r="AR52" s="144">
        <f t="shared" si="3"/>
        <v>1</v>
      </c>
      <c r="AS52" s="388">
        <f t="shared" ref="AS52" si="4">AS51</f>
        <v>2</v>
      </c>
    </row>
    <row r="54" spans="2:45" x14ac:dyDescent="0.25">
      <c r="B54" s="146" t="s">
        <v>149</v>
      </c>
      <c r="C54" s="147"/>
      <c r="D54" s="148"/>
      <c r="E54" s="149"/>
      <c r="L54" s="146" t="s">
        <v>150</v>
      </c>
      <c r="M54" s="146"/>
    </row>
    <row r="55" spans="2:45" x14ac:dyDescent="0.25">
      <c r="B55" s="146" t="s">
        <v>151</v>
      </c>
      <c r="C55" s="147"/>
      <c r="D55" s="148"/>
      <c r="E55" s="149"/>
      <c r="L55" s="146"/>
      <c r="M55" s="146" t="s">
        <v>103</v>
      </c>
    </row>
    <row r="56" spans="2:45" x14ac:dyDescent="0.25">
      <c r="B56" s="150"/>
      <c r="C56" s="146" t="s">
        <v>98</v>
      </c>
      <c r="D56" s="148"/>
      <c r="E56" s="149"/>
      <c r="L56" s="146"/>
      <c r="M56" s="146" t="s">
        <v>102</v>
      </c>
    </row>
    <row r="57" spans="2:45" x14ac:dyDescent="0.25">
      <c r="D57" s="148"/>
      <c r="E57" s="149"/>
      <c r="L57" s="146"/>
      <c r="M57" s="146" t="s">
        <v>115</v>
      </c>
    </row>
    <row r="58" spans="2:45" x14ac:dyDescent="0.25">
      <c r="D58" s="148"/>
      <c r="E58" s="149"/>
    </row>
    <row r="59" spans="2:45" x14ac:dyDescent="0.25">
      <c r="D59" s="148"/>
      <c r="E59" s="149"/>
    </row>
    <row r="60" spans="2:45" x14ac:dyDescent="0.25">
      <c r="E60" s="103"/>
    </row>
  </sheetData>
  <mergeCells count="5">
    <mergeCell ref="E2:G2"/>
    <mergeCell ref="H2:T2"/>
    <mergeCell ref="W2:X2"/>
    <mergeCell ref="U2:V2"/>
    <mergeCell ref="Y2:AR2"/>
  </mergeCells>
  <pageMargins left="0.70866141732283472" right="0.70866141732283472" top="0.74803149606299213" bottom="0.74803149606299213" header="0.31496062992125984" footer="0.31496062992125984"/>
  <pageSetup paperSize="257" orientation="landscape" horizont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85"/>
  <sheetViews>
    <sheetView zoomScale="55" zoomScaleNormal="55" workbookViewId="0">
      <pane ySplit="4" topLeftCell="A5" activePane="bottomLeft" state="frozen"/>
      <selection pane="bottomLeft" activeCell="E76" sqref="E76"/>
    </sheetView>
  </sheetViews>
  <sheetFormatPr defaultRowHeight="12.75" x14ac:dyDescent="0.2"/>
  <cols>
    <col min="1" max="1" width="1" style="151" customWidth="1"/>
    <col min="2" max="2" width="6.140625" style="152" customWidth="1"/>
    <col min="3" max="3" width="29.5703125" style="151" customWidth="1"/>
    <col min="4" max="4" width="11" style="152" customWidth="1"/>
    <col min="5" max="6" width="6" style="151" bestFit="1" customWidth="1"/>
    <col min="7" max="7" width="6.85546875" style="151" customWidth="1"/>
    <col min="8" max="8" width="5.140625" style="151" customWidth="1"/>
    <col min="9" max="9" width="3.85546875" style="151" bestFit="1" customWidth="1"/>
    <col min="10" max="10" width="6" style="151" customWidth="1"/>
    <col min="11" max="11" width="6.85546875" style="151" customWidth="1"/>
    <col min="12" max="13" width="6.85546875" style="151" bestFit="1" customWidth="1"/>
    <col min="14" max="15" width="6.85546875" style="151" customWidth="1"/>
    <col min="16" max="16" width="7" style="151" bestFit="1" customWidth="1"/>
    <col min="17" max="18" width="7" style="151" customWidth="1"/>
    <col min="19" max="19" width="6.85546875" style="151" bestFit="1" customWidth="1"/>
    <col min="20" max="20" width="4.28515625" style="151" customWidth="1"/>
    <col min="21" max="21" width="4.85546875" style="151" customWidth="1"/>
    <col min="22" max="22" width="6.85546875" style="151" bestFit="1" customWidth="1"/>
    <col min="23" max="23" width="6.85546875" style="389" bestFit="1" customWidth="1"/>
    <col min="24" max="24" width="4" style="389" bestFit="1" customWidth="1"/>
    <col min="25" max="25" width="4.7109375" style="389" customWidth="1"/>
    <col min="26" max="26" width="7.28515625" style="151" customWidth="1"/>
    <col min="27" max="27" width="6.85546875" style="151" bestFit="1" customWidth="1"/>
    <col min="28" max="28" width="6.85546875" style="151" customWidth="1"/>
    <col min="29" max="29" width="7" style="389" bestFit="1" customWidth="1"/>
    <col min="30" max="30" width="7" style="151" bestFit="1" customWidth="1"/>
    <col min="31" max="16384" width="9.140625" style="151"/>
  </cols>
  <sheetData>
    <row r="1" spans="2:31" ht="6.75" customHeight="1" thickBot="1" x14ac:dyDescent="0.25"/>
    <row r="2" spans="2:31" s="389" customFormat="1" ht="13.5" thickBot="1" x14ac:dyDescent="0.25">
      <c r="B2" s="390"/>
      <c r="D2" s="390"/>
      <c r="E2" s="621" t="s">
        <v>7</v>
      </c>
      <c r="F2" s="622"/>
      <c r="G2" s="622"/>
      <c r="H2" s="622"/>
      <c r="I2" s="622"/>
      <c r="J2" s="622"/>
      <c r="K2" s="622"/>
      <c r="L2" s="622"/>
      <c r="M2" s="622"/>
      <c r="N2" s="622"/>
      <c r="O2" s="622"/>
      <c r="P2" s="622"/>
      <c r="Q2" s="622"/>
      <c r="R2" s="622"/>
      <c r="S2" s="622"/>
      <c r="T2" s="622"/>
      <c r="U2" s="622"/>
      <c r="V2" s="622"/>
      <c r="W2" s="622"/>
      <c r="X2" s="622"/>
      <c r="Y2" s="622"/>
      <c r="Z2" s="622"/>
      <c r="AA2" s="622"/>
      <c r="AB2" s="622"/>
      <c r="AC2" s="622"/>
      <c r="AD2" s="623"/>
    </row>
    <row r="3" spans="2:31" s="389" customFormat="1" ht="11.25" customHeight="1" thickBot="1" x14ac:dyDescent="0.25">
      <c r="B3" s="390"/>
      <c r="D3" s="390"/>
      <c r="E3" s="391">
        <v>1</v>
      </c>
      <c r="F3" s="392">
        <v>2</v>
      </c>
      <c r="G3" s="392">
        <v>3</v>
      </c>
      <c r="H3" s="392">
        <v>4</v>
      </c>
      <c r="I3" s="392">
        <v>5</v>
      </c>
      <c r="J3" s="392">
        <v>6</v>
      </c>
      <c r="K3" s="392">
        <v>7</v>
      </c>
      <c r="L3" s="392">
        <v>8</v>
      </c>
      <c r="M3" s="392">
        <v>9</v>
      </c>
      <c r="N3" s="393">
        <v>10</v>
      </c>
      <c r="O3" s="393">
        <v>11</v>
      </c>
      <c r="P3" s="392">
        <v>12</v>
      </c>
      <c r="Q3" s="392">
        <v>13</v>
      </c>
      <c r="R3" s="392">
        <v>14</v>
      </c>
      <c r="S3" s="392">
        <v>15</v>
      </c>
      <c r="T3" s="392">
        <v>16</v>
      </c>
      <c r="U3" s="392">
        <v>17</v>
      </c>
      <c r="V3" s="394">
        <v>18</v>
      </c>
      <c r="W3" s="392">
        <v>20</v>
      </c>
      <c r="X3" s="393">
        <v>21</v>
      </c>
      <c r="Y3" s="392">
        <v>22</v>
      </c>
      <c r="Z3" s="392">
        <v>23</v>
      </c>
      <c r="AA3" s="392">
        <v>25</v>
      </c>
      <c r="AB3" s="394">
        <v>27</v>
      </c>
      <c r="AC3" s="394">
        <v>28</v>
      </c>
      <c r="AD3" s="395">
        <v>29</v>
      </c>
    </row>
    <row r="4" spans="2:31" s="389" customFormat="1" ht="240" customHeight="1" thickBot="1" x14ac:dyDescent="0.25">
      <c r="B4" s="156" t="s">
        <v>5</v>
      </c>
      <c r="C4" s="396" t="s">
        <v>3</v>
      </c>
      <c r="D4" s="158" t="s">
        <v>154</v>
      </c>
      <c r="E4" s="397" t="s">
        <v>268</v>
      </c>
      <c r="F4" s="337" t="s">
        <v>269</v>
      </c>
      <c r="G4" s="337" t="s">
        <v>270</v>
      </c>
      <c r="H4" s="337" t="s">
        <v>271</v>
      </c>
      <c r="I4" s="337" t="s">
        <v>272</v>
      </c>
      <c r="J4" s="337" t="s">
        <v>273</v>
      </c>
      <c r="K4" s="337" t="s">
        <v>274</v>
      </c>
      <c r="L4" s="337" t="s">
        <v>275</v>
      </c>
      <c r="M4" s="337" t="s">
        <v>276</v>
      </c>
      <c r="N4" s="337" t="s">
        <v>277</v>
      </c>
      <c r="O4" s="337" t="s">
        <v>278</v>
      </c>
      <c r="P4" s="337" t="s">
        <v>279</v>
      </c>
      <c r="Q4" s="337" t="s">
        <v>280</v>
      </c>
      <c r="R4" s="337" t="s">
        <v>281</v>
      </c>
      <c r="S4" s="337" t="s">
        <v>282</v>
      </c>
      <c r="T4" s="337" t="s">
        <v>283</v>
      </c>
      <c r="U4" s="337" t="s">
        <v>284</v>
      </c>
      <c r="V4" s="337" t="s">
        <v>285</v>
      </c>
      <c r="W4" s="337" t="s">
        <v>286</v>
      </c>
      <c r="X4" s="337" t="s">
        <v>287</v>
      </c>
      <c r="Y4" s="337" t="s">
        <v>288</v>
      </c>
      <c r="Z4" s="337" t="s">
        <v>289</v>
      </c>
      <c r="AA4" s="337" t="s">
        <v>290</v>
      </c>
      <c r="AB4" s="337" t="s">
        <v>291</v>
      </c>
      <c r="AC4" s="337" t="s">
        <v>292</v>
      </c>
      <c r="AD4" s="336" t="s">
        <v>293</v>
      </c>
      <c r="AE4" s="398"/>
    </row>
    <row r="5" spans="2:31" s="389" customFormat="1" x14ac:dyDescent="0.2">
      <c r="B5" s="164">
        <v>101</v>
      </c>
      <c r="C5" s="399" t="s">
        <v>8</v>
      </c>
      <c r="D5" s="303">
        <v>17.899999999999999</v>
      </c>
      <c r="E5" s="304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5"/>
      <c r="AC5" s="302"/>
      <c r="AD5" s="400"/>
    </row>
    <row r="6" spans="2:31" s="389" customFormat="1" x14ac:dyDescent="0.2">
      <c r="B6" s="169">
        <v>102</v>
      </c>
      <c r="C6" s="401" t="s">
        <v>9</v>
      </c>
      <c r="D6" s="308">
        <v>57.6</v>
      </c>
      <c r="E6" s="402"/>
      <c r="F6" s="403"/>
      <c r="G6" s="403"/>
      <c r="H6" s="403"/>
      <c r="I6" s="403"/>
      <c r="J6" s="403"/>
      <c r="K6" s="403"/>
      <c r="L6" s="403"/>
      <c r="M6" s="403"/>
      <c r="N6" s="403"/>
      <c r="O6" s="403"/>
      <c r="P6" s="403"/>
      <c r="Q6" s="403"/>
      <c r="R6" s="403"/>
      <c r="S6" s="403"/>
      <c r="T6" s="403"/>
      <c r="U6" s="403"/>
      <c r="V6" s="403"/>
      <c r="W6" s="403"/>
      <c r="X6" s="403"/>
      <c r="Y6" s="403"/>
      <c r="Z6" s="403"/>
      <c r="AA6" s="403"/>
      <c r="AB6" s="404"/>
      <c r="AC6" s="403"/>
      <c r="AD6" s="405"/>
    </row>
    <row r="7" spans="2:31" s="389" customFormat="1" x14ac:dyDescent="0.2">
      <c r="B7" s="169">
        <v>103</v>
      </c>
      <c r="C7" s="401" t="s">
        <v>10</v>
      </c>
      <c r="D7" s="308">
        <v>141.69999999999999</v>
      </c>
      <c r="E7" s="402"/>
      <c r="F7" s="403"/>
      <c r="G7" s="403"/>
      <c r="H7" s="403"/>
      <c r="I7" s="403"/>
      <c r="J7" s="403"/>
      <c r="K7" s="403"/>
      <c r="L7" s="403"/>
      <c r="M7" s="403"/>
      <c r="N7" s="403"/>
      <c r="O7" s="403"/>
      <c r="P7" s="403"/>
      <c r="Q7" s="403"/>
      <c r="R7" s="403"/>
      <c r="S7" s="403"/>
      <c r="T7" s="403"/>
      <c r="U7" s="403"/>
      <c r="V7" s="403"/>
      <c r="W7" s="403"/>
      <c r="X7" s="403"/>
      <c r="Y7" s="403"/>
      <c r="Z7" s="403"/>
      <c r="AA7" s="403"/>
      <c r="AB7" s="404"/>
      <c r="AC7" s="403"/>
      <c r="AD7" s="405"/>
    </row>
    <row r="8" spans="2:31" s="389" customFormat="1" x14ac:dyDescent="0.2">
      <c r="B8" s="169">
        <v>104</v>
      </c>
      <c r="C8" s="401" t="s">
        <v>11</v>
      </c>
      <c r="D8" s="308">
        <v>33.4</v>
      </c>
      <c r="E8" s="402"/>
      <c r="F8" s="403"/>
      <c r="G8" s="403"/>
      <c r="H8" s="403"/>
      <c r="I8" s="403"/>
      <c r="J8" s="403"/>
      <c r="K8" s="403"/>
      <c r="L8" s="403"/>
      <c r="M8" s="403"/>
      <c r="N8" s="403"/>
      <c r="O8" s="403"/>
      <c r="P8" s="403"/>
      <c r="Q8" s="403"/>
      <c r="R8" s="403"/>
      <c r="S8" s="403"/>
      <c r="T8" s="403"/>
      <c r="U8" s="403"/>
      <c r="V8" s="403"/>
      <c r="W8" s="403"/>
      <c r="X8" s="403"/>
      <c r="Y8" s="403"/>
      <c r="Z8" s="403"/>
      <c r="AA8" s="403"/>
      <c r="AB8" s="404"/>
      <c r="AC8" s="403"/>
      <c r="AD8" s="405"/>
    </row>
    <row r="9" spans="2:31" s="389" customFormat="1" x14ac:dyDescent="0.2">
      <c r="B9" s="169">
        <v>105</v>
      </c>
      <c r="C9" s="401" t="s">
        <v>12</v>
      </c>
      <c r="D9" s="308">
        <v>9.4</v>
      </c>
      <c r="E9" s="402"/>
      <c r="F9" s="403"/>
      <c r="G9" s="403"/>
      <c r="H9" s="403"/>
      <c r="I9" s="403"/>
      <c r="J9" s="403"/>
      <c r="K9" s="403"/>
      <c r="L9" s="403"/>
      <c r="M9" s="403"/>
      <c r="N9" s="403"/>
      <c r="O9" s="403"/>
      <c r="P9" s="403"/>
      <c r="Q9" s="403"/>
      <c r="R9" s="403"/>
      <c r="S9" s="403"/>
      <c r="T9" s="403"/>
      <c r="U9" s="403"/>
      <c r="V9" s="403"/>
      <c r="W9" s="403"/>
      <c r="X9" s="403"/>
      <c r="Y9" s="403"/>
      <c r="Z9" s="403"/>
      <c r="AA9" s="403"/>
      <c r="AB9" s="404"/>
      <c r="AC9" s="403"/>
      <c r="AD9" s="405"/>
    </row>
    <row r="10" spans="2:31" s="389" customFormat="1" x14ac:dyDescent="0.2">
      <c r="B10" s="169">
        <v>106</v>
      </c>
      <c r="C10" s="401" t="s">
        <v>13</v>
      </c>
      <c r="D10" s="308">
        <v>3.6</v>
      </c>
      <c r="E10" s="402"/>
      <c r="F10" s="403"/>
      <c r="G10" s="403"/>
      <c r="H10" s="403"/>
      <c r="I10" s="403"/>
      <c r="J10" s="403"/>
      <c r="K10" s="403"/>
      <c r="L10" s="403"/>
      <c r="M10" s="403"/>
      <c r="N10" s="403"/>
      <c r="O10" s="403"/>
      <c r="P10" s="403"/>
      <c r="Q10" s="403"/>
      <c r="R10" s="403"/>
      <c r="S10" s="403"/>
      <c r="T10" s="403"/>
      <c r="U10" s="403"/>
      <c r="V10" s="403"/>
      <c r="W10" s="403"/>
      <c r="X10" s="403"/>
      <c r="Y10" s="403"/>
      <c r="Z10" s="403"/>
      <c r="AA10" s="403"/>
      <c r="AB10" s="404"/>
      <c r="AC10" s="403"/>
      <c r="AD10" s="405"/>
    </row>
    <row r="11" spans="2:31" s="389" customFormat="1" x14ac:dyDescent="0.2">
      <c r="B11" s="169">
        <v>107</v>
      </c>
      <c r="C11" s="401" t="s">
        <v>14</v>
      </c>
      <c r="D11" s="308">
        <v>13.1</v>
      </c>
      <c r="E11" s="402"/>
      <c r="F11" s="403"/>
      <c r="G11" s="403"/>
      <c r="H11" s="403"/>
      <c r="I11" s="403"/>
      <c r="J11" s="403"/>
      <c r="K11" s="403"/>
      <c r="L11" s="403"/>
      <c r="M11" s="403"/>
      <c r="N11" s="403"/>
      <c r="O11" s="403"/>
      <c r="P11" s="403"/>
      <c r="Q11" s="403"/>
      <c r="R11" s="403"/>
      <c r="S11" s="403"/>
      <c r="T11" s="403"/>
      <c r="U11" s="403"/>
      <c r="V11" s="403"/>
      <c r="W11" s="403"/>
      <c r="X11" s="403"/>
      <c r="Y11" s="403"/>
      <c r="Z11" s="403"/>
      <c r="AA11" s="403"/>
      <c r="AB11" s="404"/>
      <c r="AC11" s="403"/>
      <c r="AD11" s="405"/>
    </row>
    <row r="12" spans="2:31" s="389" customFormat="1" x14ac:dyDescent="0.2">
      <c r="B12" s="169">
        <v>108</v>
      </c>
      <c r="C12" s="401" t="s">
        <v>15</v>
      </c>
      <c r="D12" s="308">
        <v>19.100000000000001</v>
      </c>
      <c r="E12" s="402"/>
      <c r="F12" s="403"/>
      <c r="G12" s="403"/>
      <c r="H12" s="403"/>
      <c r="I12" s="403"/>
      <c r="J12" s="403"/>
      <c r="K12" s="403"/>
      <c r="L12" s="403"/>
      <c r="M12" s="403"/>
      <c r="N12" s="403"/>
      <c r="O12" s="403"/>
      <c r="P12" s="403"/>
      <c r="Q12" s="403"/>
      <c r="R12" s="403"/>
      <c r="S12" s="403"/>
      <c r="T12" s="403"/>
      <c r="U12" s="403"/>
      <c r="V12" s="403"/>
      <c r="W12" s="403"/>
      <c r="X12" s="403"/>
      <c r="Y12" s="403"/>
      <c r="Z12" s="403"/>
      <c r="AA12" s="403"/>
      <c r="AB12" s="404"/>
      <c r="AC12" s="403"/>
      <c r="AD12" s="405"/>
    </row>
    <row r="13" spans="2:31" s="389" customFormat="1" x14ac:dyDescent="0.2">
      <c r="B13" s="169">
        <v>109</v>
      </c>
      <c r="C13" s="401" t="s">
        <v>16</v>
      </c>
      <c r="D13" s="308">
        <v>43.7</v>
      </c>
      <c r="E13" s="402"/>
      <c r="F13" s="403"/>
      <c r="G13" s="403"/>
      <c r="H13" s="403"/>
      <c r="I13" s="403"/>
      <c r="J13" s="403"/>
      <c r="K13" s="403"/>
      <c r="L13" s="403"/>
      <c r="M13" s="403"/>
      <c r="N13" s="403"/>
      <c r="O13" s="403"/>
      <c r="P13" s="403"/>
      <c r="Q13" s="403"/>
      <c r="R13" s="403"/>
      <c r="S13" s="403"/>
      <c r="T13" s="403"/>
      <c r="U13" s="403"/>
      <c r="V13" s="403"/>
      <c r="W13" s="403"/>
      <c r="X13" s="403"/>
      <c r="Y13" s="403"/>
      <c r="Z13" s="403"/>
      <c r="AA13" s="403"/>
      <c r="AB13" s="404"/>
      <c r="AC13" s="403"/>
      <c r="AD13" s="405"/>
    </row>
    <row r="14" spans="2:31" s="389" customFormat="1" x14ac:dyDescent="0.2">
      <c r="B14" s="169">
        <v>110</v>
      </c>
      <c r="C14" s="401" t="s">
        <v>17</v>
      </c>
      <c r="D14" s="308">
        <v>4.8</v>
      </c>
      <c r="E14" s="402"/>
      <c r="F14" s="403"/>
      <c r="G14" s="403"/>
      <c r="H14" s="403">
        <v>1</v>
      </c>
      <c r="I14" s="403"/>
      <c r="J14" s="403"/>
      <c r="K14" s="403"/>
      <c r="L14" s="403"/>
      <c r="M14" s="403"/>
      <c r="N14" s="403"/>
      <c r="O14" s="403"/>
      <c r="P14" s="403"/>
      <c r="Q14" s="403"/>
      <c r="R14" s="403"/>
      <c r="S14" s="403"/>
      <c r="T14" s="403">
        <v>1</v>
      </c>
      <c r="U14" s="403"/>
      <c r="V14" s="403"/>
      <c r="W14" s="403"/>
      <c r="X14" s="403"/>
      <c r="Y14" s="403">
        <v>1</v>
      </c>
      <c r="Z14" s="403"/>
      <c r="AA14" s="403">
        <v>1</v>
      </c>
      <c r="AB14" s="404">
        <v>1</v>
      </c>
      <c r="AC14" s="403">
        <v>1</v>
      </c>
      <c r="AD14" s="405">
        <v>1</v>
      </c>
    </row>
    <row r="15" spans="2:31" s="389" customFormat="1" x14ac:dyDescent="0.2">
      <c r="B15" s="169">
        <v>111</v>
      </c>
      <c r="C15" s="401" t="s">
        <v>18</v>
      </c>
      <c r="D15" s="308">
        <v>5.8</v>
      </c>
      <c r="E15" s="402"/>
      <c r="F15" s="403"/>
      <c r="G15" s="403"/>
      <c r="H15" s="403"/>
      <c r="I15" s="403"/>
      <c r="J15" s="403"/>
      <c r="K15" s="403"/>
      <c r="L15" s="403"/>
      <c r="M15" s="403"/>
      <c r="N15" s="403"/>
      <c r="O15" s="403"/>
      <c r="P15" s="403"/>
      <c r="Q15" s="403"/>
      <c r="R15" s="403"/>
      <c r="S15" s="403"/>
      <c r="T15" s="403"/>
      <c r="U15" s="403"/>
      <c r="V15" s="403"/>
      <c r="W15" s="403"/>
      <c r="X15" s="403"/>
      <c r="Y15" s="403"/>
      <c r="Z15" s="403"/>
      <c r="AA15" s="403"/>
      <c r="AB15" s="404"/>
      <c r="AC15" s="403"/>
      <c r="AD15" s="405"/>
    </row>
    <row r="16" spans="2:31" s="389" customFormat="1" x14ac:dyDescent="0.2">
      <c r="B16" s="169">
        <v>112</v>
      </c>
      <c r="C16" s="401" t="s">
        <v>19</v>
      </c>
      <c r="D16" s="308">
        <v>19.5</v>
      </c>
      <c r="E16" s="402"/>
      <c r="F16" s="403">
        <v>1</v>
      </c>
      <c r="G16" s="403"/>
      <c r="H16" s="403"/>
      <c r="I16" s="403"/>
      <c r="J16" s="403"/>
      <c r="K16" s="403"/>
      <c r="L16" s="403"/>
      <c r="M16" s="403"/>
      <c r="N16" s="403"/>
      <c r="O16" s="403"/>
      <c r="P16" s="403"/>
      <c r="Q16" s="403"/>
      <c r="R16" s="403">
        <v>1</v>
      </c>
      <c r="S16" s="403"/>
      <c r="T16" s="403"/>
      <c r="U16" s="403"/>
      <c r="V16" s="403"/>
      <c r="W16" s="403"/>
      <c r="X16" s="403"/>
      <c r="Y16" s="403"/>
      <c r="Z16" s="403"/>
      <c r="AA16" s="403"/>
      <c r="AB16" s="404"/>
      <c r="AC16" s="403"/>
      <c r="AD16" s="405"/>
    </row>
    <row r="17" spans="2:30" s="389" customFormat="1" x14ac:dyDescent="0.2">
      <c r="B17" s="169">
        <v>113</v>
      </c>
      <c r="C17" s="401" t="s">
        <v>20</v>
      </c>
      <c r="D17" s="308">
        <v>6.3</v>
      </c>
      <c r="E17" s="402"/>
      <c r="F17" s="403"/>
      <c r="G17" s="403"/>
      <c r="H17" s="403"/>
      <c r="I17" s="403"/>
      <c r="J17" s="403"/>
      <c r="K17" s="403"/>
      <c r="L17" s="403"/>
      <c r="M17" s="403"/>
      <c r="N17" s="403"/>
      <c r="O17" s="403"/>
      <c r="P17" s="403"/>
      <c r="Q17" s="403"/>
      <c r="R17" s="403"/>
      <c r="S17" s="403"/>
      <c r="T17" s="403"/>
      <c r="U17" s="403"/>
      <c r="V17" s="403"/>
      <c r="W17" s="403"/>
      <c r="X17" s="403"/>
      <c r="Y17" s="403"/>
      <c r="Z17" s="403"/>
      <c r="AA17" s="403"/>
      <c r="AB17" s="404"/>
      <c r="AC17" s="403"/>
      <c r="AD17" s="405"/>
    </row>
    <row r="18" spans="2:30" s="389" customFormat="1" x14ac:dyDescent="0.2">
      <c r="B18" s="169">
        <v>114</v>
      </c>
      <c r="C18" s="401" t="s">
        <v>21</v>
      </c>
      <c r="D18" s="308">
        <v>3.6</v>
      </c>
      <c r="E18" s="402"/>
      <c r="F18" s="403">
        <v>1</v>
      </c>
      <c r="G18" s="403"/>
      <c r="H18" s="403"/>
      <c r="I18" s="403">
        <v>1</v>
      </c>
      <c r="J18" s="403">
        <v>1</v>
      </c>
      <c r="K18" s="403"/>
      <c r="L18" s="403"/>
      <c r="M18" s="403"/>
      <c r="N18" s="403"/>
      <c r="O18" s="403"/>
      <c r="P18" s="403"/>
      <c r="Q18" s="403"/>
      <c r="R18" s="403">
        <v>1</v>
      </c>
      <c r="S18" s="403"/>
      <c r="T18" s="403"/>
      <c r="U18" s="403"/>
      <c r="V18" s="403">
        <v>1</v>
      </c>
      <c r="W18" s="403"/>
      <c r="X18" s="403">
        <v>1</v>
      </c>
      <c r="Y18" s="403"/>
      <c r="Z18" s="403">
        <v>1</v>
      </c>
      <c r="AA18" s="403"/>
      <c r="AB18" s="404">
        <v>1</v>
      </c>
      <c r="AC18" s="403"/>
      <c r="AD18" s="405"/>
    </row>
    <row r="19" spans="2:30" s="389" customFormat="1" x14ac:dyDescent="0.2">
      <c r="B19" s="169">
        <v>115</v>
      </c>
      <c r="C19" s="401" t="s">
        <v>22</v>
      </c>
      <c r="D19" s="308">
        <v>12.7</v>
      </c>
      <c r="E19" s="402"/>
      <c r="F19" s="403"/>
      <c r="G19" s="403"/>
      <c r="H19" s="403"/>
      <c r="I19" s="403"/>
      <c r="J19" s="403"/>
      <c r="K19" s="403"/>
      <c r="L19" s="403"/>
      <c r="M19" s="403"/>
      <c r="N19" s="403"/>
      <c r="O19" s="403"/>
      <c r="P19" s="403"/>
      <c r="Q19" s="403"/>
      <c r="R19" s="403"/>
      <c r="S19" s="403"/>
      <c r="T19" s="403"/>
      <c r="U19" s="403"/>
      <c r="V19" s="403"/>
      <c r="W19" s="403"/>
      <c r="X19" s="403"/>
      <c r="Y19" s="403"/>
      <c r="Z19" s="403"/>
      <c r="AA19" s="403"/>
      <c r="AB19" s="404"/>
      <c r="AC19" s="403"/>
      <c r="AD19" s="405"/>
    </row>
    <row r="20" spans="2:30" s="389" customFormat="1" x14ac:dyDescent="0.2">
      <c r="B20" s="169">
        <v>116</v>
      </c>
      <c r="C20" s="401" t="s">
        <v>23</v>
      </c>
      <c r="D20" s="308">
        <v>2.7</v>
      </c>
      <c r="E20" s="402"/>
      <c r="F20" s="403"/>
      <c r="G20" s="403"/>
      <c r="H20" s="403"/>
      <c r="I20" s="403">
        <v>1</v>
      </c>
      <c r="J20" s="403">
        <v>1</v>
      </c>
      <c r="K20" s="403"/>
      <c r="L20" s="403"/>
      <c r="M20" s="403"/>
      <c r="N20" s="403"/>
      <c r="O20" s="403"/>
      <c r="P20" s="403"/>
      <c r="Q20" s="403"/>
      <c r="R20" s="403"/>
      <c r="S20" s="403"/>
      <c r="T20" s="403"/>
      <c r="U20" s="403"/>
      <c r="V20" s="403">
        <v>1</v>
      </c>
      <c r="W20" s="403"/>
      <c r="X20" s="403"/>
      <c r="Y20" s="403"/>
      <c r="Z20" s="403"/>
      <c r="AA20" s="403"/>
      <c r="AB20" s="404"/>
      <c r="AC20" s="403"/>
      <c r="AD20" s="405"/>
    </row>
    <row r="21" spans="2:30" s="389" customFormat="1" x14ac:dyDescent="0.2">
      <c r="B21" s="169">
        <v>117</v>
      </c>
      <c r="C21" s="401" t="s">
        <v>17</v>
      </c>
      <c r="D21" s="308">
        <v>2.5</v>
      </c>
      <c r="E21" s="402"/>
      <c r="F21" s="403">
        <v>1</v>
      </c>
      <c r="G21" s="403"/>
      <c r="H21" s="403"/>
      <c r="I21" s="403"/>
      <c r="J21" s="403"/>
      <c r="K21" s="403"/>
      <c r="L21" s="403"/>
      <c r="M21" s="403"/>
      <c r="N21" s="403"/>
      <c r="O21" s="403"/>
      <c r="P21" s="403"/>
      <c r="Q21" s="403"/>
      <c r="R21" s="403">
        <v>1</v>
      </c>
      <c r="S21" s="403"/>
      <c r="T21" s="403"/>
      <c r="U21" s="403"/>
      <c r="V21" s="403"/>
      <c r="W21" s="403"/>
      <c r="X21" s="403">
        <v>1</v>
      </c>
      <c r="Y21" s="403"/>
      <c r="Z21" s="403">
        <v>1</v>
      </c>
      <c r="AA21" s="403"/>
      <c r="AB21" s="404">
        <v>1</v>
      </c>
      <c r="AC21" s="403"/>
      <c r="AD21" s="405"/>
    </row>
    <row r="22" spans="2:30" s="389" customFormat="1" x14ac:dyDescent="0.2">
      <c r="B22" s="169">
        <v>118</v>
      </c>
      <c r="C22" s="401" t="s">
        <v>24</v>
      </c>
      <c r="D22" s="308">
        <v>8.1</v>
      </c>
      <c r="E22" s="402"/>
      <c r="F22" s="403"/>
      <c r="G22" s="403">
        <v>1</v>
      </c>
      <c r="H22" s="403"/>
      <c r="I22" s="403"/>
      <c r="J22" s="403"/>
      <c r="K22" s="403"/>
      <c r="L22" s="403"/>
      <c r="M22" s="403"/>
      <c r="N22" s="403"/>
      <c r="O22" s="403"/>
      <c r="P22" s="403"/>
      <c r="Q22" s="403"/>
      <c r="R22" s="403"/>
      <c r="S22" s="403">
        <v>1</v>
      </c>
      <c r="T22" s="403"/>
      <c r="U22" s="403"/>
      <c r="V22" s="403"/>
      <c r="W22" s="403"/>
      <c r="X22" s="403"/>
      <c r="Y22" s="403"/>
      <c r="Z22" s="403"/>
      <c r="AA22" s="403"/>
      <c r="AB22" s="404"/>
      <c r="AC22" s="403"/>
      <c r="AD22" s="405"/>
    </row>
    <row r="23" spans="2:30" s="389" customFormat="1" x14ac:dyDescent="0.2">
      <c r="B23" s="169">
        <v>119</v>
      </c>
      <c r="C23" s="401" t="s">
        <v>11</v>
      </c>
      <c r="D23" s="308">
        <v>24.5</v>
      </c>
      <c r="E23" s="402"/>
      <c r="F23" s="403"/>
      <c r="G23" s="403"/>
      <c r="H23" s="403"/>
      <c r="I23" s="403"/>
      <c r="J23" s="403"/>
      <c r="K23" s="403"/>
      <c r="L23" s="403"/>
      <c r="M23" s="403"/>
      <c r="N23" s="403"/>
      <c r="O23" s="403"/>
      <c r="P23" s="403"/>
      <c r="Q23" s="403"/>
      <c r="R23" s="403"/>
      <c r="S23" s="403"/>
      <c r="T23" s="403"/>
      <c r="U23" s="403"/>
      <c r="V23" s="403"/>
      <c r="W23" s="403"/>
      <c r="X23" s="403"/>
      <c r="Y23" s="403"/>
      <c r="Z23" s="403"/>
      <c r="AA23" s="403"/>
      <c r="AB23" s="404"/>
      <c r="AC23" s="403"/>
      <c r="AD23" s="405"/>
    </row>
    <row r="24" spans="2:30" s="389" customFormat="1" x14ac:dyDescent="0.2">
      <c r="B24" s="169">
        <v>120</v>
      </c>
      <c r="C24" s="401" t="s">
        <v>25</v>
      </c>
      <c r="D24" s="308">
        <v>14.9</v>
      </c>
      <c r="E24" s="402">
        <v>4</v>
      </c>
      <c r="F24" s="403"/>
      <c r="G24" s="403"/>
      <c r="H24" s="403"/>
      <c r="I24" s="403">
        <v>1</v>
      </c>
      <c r="J24" s="403">
        <v>1</v>
      </c>
      <c r="K24" s="403">
        <v>1</v>
      </c>
      <c r="L24" s="403"/>
      <c r="M24" s="403"/>
      <c r="N24" s="403"/>
      <c r="O24" s="403"/>
      <c r="P24" s="403">
        <v>1</v>
      </c>
      <c r="Q24" s="403"/>
      <c r="R24" s="403"/>
      <c r="S24" s="403"/>
      <c r="T24" s="403" t="s">
        <v>130</v>
      </c>
      <c r="U24" s="403">
        <v>1</v>
      </c>
      <c r="V24" s="403"/>
      <c r="W24" s="403">
        <v>3</v>
      </c>
      <c r="X24" s="403"/>
      <c r="Y24" s="403"/>
      <c r="Z24" s="403">
        <v>3</v>
      </c>
      <c r="AA24" s="403"/>
      <c r="AB24" s="404">
        <v>3</v>
      </c>
      <c r="AC24" s="403"/>
      <c r="AD24" s="405"/>
    </row>
    <row r="25" spans="2:30" s="389" customFormat="1" x14ac:dyDescent="0.2">
      <c r="B25" s="169">
        <v>121</v>
      </c>
      <c r="C25" s="401" t="s">
        <v>8</v>
      </c>
      <c r="D25" s="308">
        <v>10.7</v>
      </c>
      <c r="E25" s="402"/>
      <c r="F25" s="403"/>
      <c r="G25" s="403"/>
      <c r="H25" s="403"/>
      <c r="I25" s="403"/>
      <c r="J25" s="403"/>
      <c r="K25" s="403"/>
      <c r="L25" s="403"/>
      <c r="M25" s="403"/>
      <c r="N25" s="403"/>
      <c r="O25" s="403"/>
      <c r="P25" s="403"/>
      <c r="Q25" s="403"/>
      <c r="R25" s="403"/>
      <c r="S25" s="403"/>
      <c r="T25" s="403"/>
      <c r="U25" s="403"/>
      <c r="V25" s="403"/>
      <c r="W25" s="403"/>
      <c r="X25" s="403"/>
      <c r="Y25" s="403"/>
      <c r="Z25" s="403"/>
      <c r="AA25" s="403"/>
      <c r="AB25" s="404"/>
      <c r="AC25" s="403"/>
      <c r="AD25" s="405"/>
    </row>
    <row r="26" spans="2:30" s="389" customFormat="1" x14ac:dyDescent="0.2">
      <c r="B26" s="169">
        <v>122</v>
      </c>
      <c r="C26" s="401" t="s">
        <v>26</v>
      </c>
      <c r="D26" s="308">
        <v>48.5</v>
      </c>
      <c r="E26" s="402"/>
      <c r="F26" s="403"/>
      <c r="G26" s="403"/>
      <c r="H26" s="403"/>
      <c r="I26" s="403"/>
      <c r="J26" s="403"/>
      <c r="K26" s="403"/>
      <c r="L26" s="403"/>
      <c r="M26" s="403"/>
      <c r="N26" s="403"/>
      <c r="O26" s="403"/>
      <c r="P26" s="403"/>
      <c r="Q26" s="403"/>
      <c r="R26" s="403"/>
      <c r="S26" s="403"/>
      <c r="T26" s="403"/>
      <c r="U26" s="403"/>
      <c r="V26" s="403"/>
      <c r="W26" s="403"/>
      <c r="X26" s="403"/>
      <c r="Y26" s="403"/>
      <c r="Z26" s="403"/>
      <c r="AA26" s="403"/>
      <c r="AB26" s="404"/>
      <c r="AC26" s="403"/>
      <c r="AD26" s="405"/>
    </row>
    <row r="27" spans="2:30" s="389" customFormat="1" x14ac:dyDescent="0.2">
      <c r="B27" s="169">
        <v>123</v>
      </c>
      <c r="C27" s="401" t="s">
        <v>27</v>
      </c>
      <c r="D27" s="308">
        <v>73.8</v>
      </c>
      <c r="E27" s="402"/>
      <c r="F27" s="403"/>
      <c r="G27" s="403"/>
      <c r="H27" s="403"/>
      <c r="I27" s="403"/>
      <c r="J27" s="403"/>
      <c r="K27" s="403"/>
      <c r="L27" s="403"/>
      <c r="M27" s="403"/>
      <c r="N27" s="403"/>
      <c r="O27" s="403"/>
      <c r="P27" s="403"/>
      <c r="Q27" s="403"/>
      <c r="R27" s="403"/>
      <c r="S27" s="403"/>
      <c r="T27" s="403"/>
      <c r="U27" s="403"/>
      <c r="V27" s="403"/>
      <c r="W27" s="403"/>
      <c r="X27" s="403"/>
      <c r="Y27" s="403"/>
      <c r="Z27" s="403"/>
      <c r="AA27" s="403"/>
      <c r="AB27" s="404"/>
      <c r="AC27" s="403"/>
      <c r="AD27" s="405"/>
    </row>
    <row r="28" spans="2:30" x14ac:dyDescent="0.2">
      <c r="B28" s="169">
        <v>124</v>
      </c>
      <c r="C28" s="401" t="s">
        <v>28</v>
      </c>
      <c r="D28" s="308">
        <v>22.8</v>
      </c>
      <c r="E28" s="402"/>
      <c r="F28" s="403"/>
      <c r="G28" s="403"/>
      <c r="H28" s="403"/>
      <c r="I28" s="403"/>
      <c r="J28" s="403"/>
      <c r="K28" s="403"/>
      <c r="L28" s="403"/>
      <c r="M28" s="403"/>
      <c r="N28" s="403"/>
      <c r="O28" s="403"/>
      <c r="P28" s="403"/>
      <c r="Q28" s="403"/>
      <c r="R28" s="403"/>
      <c r="S28" s="403"/>
      <c r="T28" s="403"/>
      <c r="U28" s="403"/>
      <c r="V28" s="403"/>
      <c r="W28" s="403"/>
      <c r="X28" s="403"/>
      <c r="Y28" s="403"/>
      <c r="Z28" s="403"/>
      <c r="AA28" s="403"/>
      <c r="AB28" s="404"/>
      <c r="AC28" s="403"/>
      <c r="AD28" s="405"/>
    </row>
    <row r="29" spans="2:30" x14ac:dyDescent="0.2">
      <c r="B29" s="406">
        <v>125</v>
      </c>
      <c r="C29" s="407" t="s">
        <v>8</v>
      </c>
      <c r="D29" s="408">
        <v>10.7</v>
      </c>
      <c r="E29" s="309"/>
      <c r="F29" s="307"/>
      <c r="G29" s="307"/>
      <c r="H29" s="307"/>
      <c r="I29" s="307"/>
      <c r="J29" s="307"/>
      <c r="K29" s="307"/>
      <c r="L29" s="307"/>
      <c r="M29" s="307"/>
      <c r="N29" s="307"/>
      <c r="O29" s="307"/>
      <c r="P29" s="307"/>
      <c r="Q29" s="307"/>
      <c r="R29" s="307"/>
      <c r="S29" s="307"/>
      <c r="T29" s="307"/>
      <c r="U29" s="307"/>
      <c r="V29" s="307"/>
      <c r="W29" s="307"/>
      <c r="X29" s="307"/>
      <c r="Y29" s="307"/>
      <c r="Z29" s="307"/>
      <c r="AA29" s="307"/>
      <c r="AB29" s="310"/>
      <c r="AC29" s="307"/>
      <c r="AD29" s="338"/>
    </row>
    <row r="30" spans="2:30" x14ac:dyDescent="0.2">
      <c r="B30" s="169">
        <v>126</v>
      </c>
      <c r="C30" s="401" t="s">
        <v>29</v>
      </c>
      <c r="D30" s="308">
        <v>50</v>
      </c>
      <c r="E30" s="309"/>
      <c r="F30" s="307"/>
      <c r="G30" s="307"/>
      <c r="H30" s="307"/>
      <c r="I30" s="307"/>
      <c r="J30" s="307"/>
      <c r="K30" s="307"/>
      <c r="L30" s="307"/>
      <c r="M30" s="307"/>
      <c r="N30" s="307"/>
      <c r="O30" s="307"/>
      <c r="P30" s="307"/>
      <c r="Q30" s="307"/>
      <c r="R30" s="307"/>
      <c r="S30" s="307"/>
      <c r="T30" s="307"/>
      <c r="U30" s="307"/>
      <c r="V30" s="307"/>
      <c r="W30" s="307"/>
      <c r="X30" s="307"/>
      <c r="Y30" s="307"/>
      <c r="Z30" s="307"/>
      <c r="AA30" s="307"/>
      <c r="AB30" s="310"/>
      <c r="AC30" s="307"/>
      <c r="AD30" s="338"/>
    </row>
    <row r="31" spans="2:30" s="311" customFormat="1" x14ac:dyDescent="0.2">
      <c r="B31" s="169">
        <v>127</v>
      </c>
      <c r="C31" s="401" t="s">
        <v>30</v>
      </c>
      <c r="D31" s="308">
        <v>73.8</v>
      </c>
      <c r="E31" s="309"/>
      <c r="F31" s="307"/>
      <c r="G31" s="307"/>
      <c r="H31" s="307"/>
      <c r="I31" s="307"/>
      <c r="J31" s="307"/>
      <c r="K31" s="307"/>
      <c r="L31" s="307"/>
      <c r="M31" s="307"/>
      <c r="N31" s="307"/>
      <c r="O31" s="307"/>
      <c r="P31" s="307"/>
      <c r="Q31" s="307"/>
      <c r="R31" s="307"/>
      <c r="S31" s="307"/>
      <c r="T31" s="307"/>
      <c r="U31" s="307"/>
      <c r="V31" s="307"/>
      <c r="W31" s="307"/>
      <c r="X31" s="307"/>
      <c r="Y31" s="307"/>
      <c r="Z31" s="307"/>
      <c r="AA31" s="307"/>
      <c r="AB31" s="310"/>
      <c r="AC31" s="307"/>
      <c r="AD31" s="338"/>
    </row>
    <row r="32" spans="2:30" s="311" customFormat="1" x14ac:dyDescent="0.2">
      <c r="B32" s="169">
        <v>128</v>
      </c>
      <c r="C32" s="401" t="s">
        <v>31</v>
      </c>
      <c r="D32" s="308">
        <v>17.7</v>
      </c>
      <c r="E32" s="309"/>
      <c r="F32" s="307"/>
      <c r="G32" s="307"/>
      <c r="H32" s="307"/>
      <c r="I32" s="307"/>
      <c r="J32" s="307"/>
      <c r="K32" s="307"/>
      <c r="L32" s="307"/>
      <c r="M32" s="307"/>
      <c r="N32" s="307"/>
      <c r="O32" s="307"/>
      <c r="P32" s="307"/>
      <c r="Q32" s="307"/>
      <c r="R32" s="307"/>
      <c r="S32" s="307"/>
      <c r="T32" s="307"/>
      <c r="U32" s="307"/>
      <c r="V32" s="307"/>
      <c r="W32" s="307"/>
      <c r="X32" s="307"/>
      <c r="Y32" s="307"/>
      <c r="Z32" s="307"/>
      <c r="AA32" s="307"/>
      <c r="AB32" s="310"/>
      <c r="AC32" s="307"/>
      <c r="AD32" s="338"/>
    </row>
    <row r="33" spans="2:30" x14ac:dyDescent="0.2">
      <c r="B33" s="169">
        <v>129</v>
      </c>
      <c r="C33" s="401" t="s">
        <v>32</v>
      </c>
      <c r="D33" s="308">
        <v>4.0999999999999996</v>
      </c>
      <c r="E33" s="309"/>
      <c r="F33" s="307"/>
      <c r="G33" s="307"/>
      <c r="H33" s="307"/>
      <c r="I33" s="307"/>
      <c r="J33" s="307"/>
      <c r="K33" s="307"/>
      <c r="L33" s="307"/>
      <c r="M33" s="307"/>
      <c r="N33" s="307"/>
      <c r="O33" s="307"/>
      <c r="P33" s="307"/>
      <c r="Q33" s="307"/>
      <c r="R33" s="307"/>
      <c r="S33" s="307"/>
      <c r="T33" s="307"/>
      <c r="U33" s="307"/>
      <c r="V33" s="307"/>
      <c r="W33" s="307"/>
      <c r="X33" s="307"/>
      <c r="Y33" s="307"/>
      <c r="Z33" s="307"/>
      <c r="AA33" s="307"/>
      <c r="AB33" s="310"/>
      <c r="AC33" s="307"/>
      <c r="AD33" s="338"/>
    </row>
    <row r="34" spans="2:30" x14ac:dyDescent="0.2">
      <c r="B34" s="169">
        <v>130</v>
      </c>
      <c r="C34" s="401" t="s">
        <v>33</v>
      </c>
      <c r="D34" s="308">
        <v>31.9</v>
      </c>
      <c r="E34" s="309">
        <v>10</v>
      </c>
      <c r="F34" s="307"/>
      <c r="G34" s="307"/>
      <c r="H34" s="307"/>
      <c r="I34" s="307">
        <v>1</v>
      </c>
      <c r="J34" s="307">
        <v>1</v>
      </c>
      <c r="K34" s="307"/>
      <c r="L34" s="307"/>
      <c r="M34" s="307">
        <v>2</v>
      </c>
      <c r="N34" s="307">
        <v>1</v>
      </c>
      <c r="O34" s="307">
        <v>1</v>
      </c>
      <c r="P34" s="307"/>
      <c r="Q34" s="307"/>
      <c r="R34" s="307"/>
      <c r="S34" s="307"/>
      <c r="T34" s="307"/>
      <c r="U34" s="307">
        <v>1</v>
      </c>
      <c r="V34" s="307"/>
      <c r="W34" s="307">
        <v>6</v>
      </c>
      <c r="X34" s="307"/>
      <c r="Y34" s="307"/>
      <c r="Z34" s="307">
        <v>6</v>
      </c>
      <c r="AA34" s="307"/>
      <c r="AB34" s="310">
        <v>6</v>
      </c>
      <c r="AC34" s="307"/>
      <c r="AD34" s="338"/>
    </row>
    <row r="35" spans="2:30" x14ac:dyDescent="0.2">
      <c r="B35" s="169">
        <v>131</v>
      </c>
      <c r="C35" s="401" t="s">
        <v>17</v>
      </c>
      <c r="D35" s="308">
        <v>1.3</v>
      </c>
      <c r="E35" s="309">
        <v>1</v>
      </c>
      <c r="F35" s="307"/>
      <c r="G35" s="307"/>
      <c r="H35" s="307"/>
      <c r="I35" s="307"/>
      <c r="J35" s="307"/>
      <c r="K35" s="307"/>
      <c r="L35" s="307"/>
      <c r="M35" s="307"/>
      <c r="N35" s="307"/>
      <c r="O35" s="307"/>
      <c r="P35" s="307"/>
      <c r="Q35" s="307"/>
      <c r="R35" s="307">
        <v>1</v>
      </c>
      <c r="S35" s="307"/>
      <c r="T35" s="307"/>
      <c r="U35" s="307"/>
      <c r="V35" s="307"/>
      <c r="W35" s="307">
        <v>1</v>
      </c>
      <c r="X35" s="307"/>
      <c r="Y35" s="307"/>
      <c r="Z35" s="307">
        <v>1</v>
      </c>
      <c r="AA35" s="307"/>
      <c r="AB35" s="310">
        <v>1</v>
      </c>
      <c r="AC35" s="307"/>
      <c r="AD35" s="338"/>
    </row>
    <row r="36" spans="2:30" x14ac:dyDescent="0.2">
      <c r="B36" s="169">
        <v>132</v>
      </c>
      <c r="C36" s="401" t="s">
        <v>34</v>
      </c>
      <c r="D36" s="308">
        <v>4.2</v>
      </c>
      <c r="E36" s="309"/>
      <c r="F36" s="307"/>
      <c r="G36" s="307"/>
      <c r="H36" s="307"/>
      <c r="I36" s="307"/>
      <c r="J36" s="307"/>
      <c r="K36" s="307"/>
      <c r="L36" s="307"/>
      <c r="M36" s="307"/>
      <c r="N36" s="307"/>
      <c r="O36" s="307"/>
      <c r="P36" s="307"/>
      <c r="Q36" s="307"/>
      <c r="R36" s="307"/>
      <c r="S36" s="307"/>
      <c r="T36" s="307"/>
      <c r="U36" s="307"/>
      <c r="V36" s="307"/>
      <c r="W36" s="307"/>
      <c r="X36" s="307"/>
      <c r="Y36" s="307"/>
      <c r="Z36" s="307"/>
      <c r="AA36" s="307"/>
      <c r="AB36" s="310"/>
      <c r="AC36" s="307"/>
      <c r="AD36" s="338"/>
    </row>
    <row r="37" spans="2:30" x14ac:dyDescent="0.2">
      <c r="B37" s="169">
        <v>133</v>
      </c>
      <c r="C37" s="401" t="s">
        <v>35</v>
      </c>
      <c r="D37" s="308">
        <v>17.3</v>
      </c>
      <c r="E37" s="309"/>
      <c r="F37" s="307"/>
      <c r="G37" s="307"/>
      <c r="H37" s="307"/>
      <c r="I37" s="307"/>
      <c r="J37" s="307"/>
      <c r="K37" s="307"/>
      <c r="L37" s="307"/>
      <c r="M37" s="307"/>
      <c r="N37" s="307"/>
      <c r="O37" s="307"/>
      <c r="P37" s="307"/>
      <c r="Q37" s="307"/>
      <c r="R37" s="307"/>
      <c r="S37" s="307"/>
      <c r="T37" s="307"/>
      <c r="U37" s="307"/>
      <c r="V37" s="307"/>
      <c r="W37" s="307"/>
      <c r="X37" s="307"/>
      <c r="Y37" s="307"/>
      <c r="Z37" s="307"/>
      <c r="AA37" s="307"/>
      <c r="AB37" s="310"/>
      <c r="AC37" s="307"/>
      <c r="AD37" s="338"/>
    </row>
    <row r="38" spans="2:30" x14ac:dyDescent="0.2">
      <c r="B38" s="169">
        <v>134</v>
      </c>
      <c r="C38" s="401" t="s">
        <v>37</v>
      </c>
      <c r="D38" s="308">
        <v>73.8</v>
      </c>
      <c r="E38" s="309"/>
      <c r="F38" s="307"/>
      <c r="G38" s="307"/>
      <c r="H38" s="307"/>
      <c r="I38" s="307"/>
      <c r="J38" s="307"/>
      <c r="K38" s="307"/>
      <c r="L38" s="307"/>
      <c r="M38" s="307"/>
      <c r="N38" s="307"/>
      <c r="O38" s="307"/>
      <c r="P38" s="307"/>
      <c r="Q38" s="307"/>
      <c r="R38" s="307"/>
      <c r="S38" s="307"/>
      <c r="T38" s="307"/>
      <c r="U38" s="307"/>
      <c r="V38" s="307"/>
      <c r="W38" s="307"/>
      <c r="X38" s="307"/>
      <c r="Y38" s="307"/>
      <c r="Z38" s="307"/>
      <c r="AA38" s="307"/>
      <c r="AB38" s="310"/>
      <c r="AC38" s="307"/>
      <c r="AD38" s="338"/>
    </row>
    <row r="39" spans="2:30" x14ac:dyDescent="0.2">
      <c r="B39" s="169">
        <v>135</v>
      </c>
      <c r="C39" s="401" t="s">
        <v>36</v>
      </c>
      <c r="D39" s="308">
        <v>49.5</v>
      </c>
      <c r="E39" s="309"/>
      <c r="F39" s="307"/>
      <c r="G39" s="307"/>
      <c r="H39" s="307"/>
      <c r="I39" s="307"/>
      <c r="J39" s="307"/>
      <c r="K39" s="307"/>
      <c r="L39" s="307"/>
      <c r="M39" s="307"/>
      <c r="N39" s="307"/>
      <c r="O39" s="307"/>
      <c r="P39" s="307"/>
      <c r="Q39" s="307"/>
      <c r="R39" s="307"/>
      <c r="S39" s="307"/>
      <c r="T39" s="307"/>
      <c r="U39" s="307"/>
      <c r="V39" s="307"/>
      <c r="W39" s="307"/>
      <c r="X39" s="307"/>
      <c r="Y39" s="307"/>
      <c r="Z39" s="307"/>
      <c r="AA39" s="307"/>
      <c r="AB39" s="310"/>
      <c r="AC39" s="307"/>
      <c r="AD39" s="338"/>
    </row>
    <row r="40" spans="2:30" x14ac:dyDescent="0.2">
      <c r="B40" s="169">
        <v>136</v>
      </c>
      <c r="C40" s="401" t="s">
        <v>36</v>
      </c>
      <c r="D40" s="308">
        <v>49.5</v>
      </c>
      <c r="E40" s="309"/>
      <c r="F40" s="307"/>
      <c r="G40" s="307"/>
      <c r="H40" s="307"/>
      <c r="I40" s="307"/>
      <c r="J40" s="307"/>
      <c r="K40" s="307"/>
      <c r="L40" s="307"/>
      <c r="M40" s="307"/>
      <c r="N40" s="307"/>
      <c r="O40" s="307"/>
      <c r="P40" s="307"/>
      <c r="Q40" s="307"/>
      <c r="R40" s="307"/>
      <c r="S40" s="307"/>
      <c r="T40" s="307"/>
      <c r="U40" s="307"/>
      <c r="V40" s="307"/>
      <c r="W40" s="307"/>
      <c r="X40" s="307"/>
      <c r="Y40" s="307"/>
      <c r="Z40" s="307"/>
      <c r="AA40" s="307"/>
      <c r="AB40" s="310"/>
      <c r="AC40" s="307"/>
      <c r="AD40" s="338"/>
    </row>
    <row r="41" spans="2:30" x14ac:dyDescent="0.2">
      <c r="B41" s="169">
        <v>137</v>
      </c>
      <c r="C41" s="401" t="s">
        <v>39</v>
      </c>
      <c r="D41" s="308">
        <v>73.8</v>
      </c>
      <c r="E41" s="309"/>
      <c r="F41" s="307"/>
      <c r="G41" s="307"/>
      <c r="H41" s="307"/>
      <c r="I41" s="307"/>
      <c r="J41" s="307"/>
      <c r="K41" s="307"/>
      <c r="L41" s="307"/>
      <c r="M41" s="307"/>
      <c r="N41" s="307"/>
      <c r="O41" s="307"/>
      <c r="P41" s="307"/>
      <c r="Q41" s="307"/>
      <c r="R41" s="307"/>
      <c r="S41" s="307"/>
      <c r="T41" s="307"/>
      <c r="U41" s="307"/>
      <c r="V41" s="307"/>
      <c r="W41" s="307"/>
      <c r="X41" s="307"/>
      <c r="Y41" s="307"/>
      <c r="Z41" s="307"/>
      <c r="AA41" s="307"/>
      <c r="AB41" s="310"/>
      <c r="AC41" s="307"/>
      <c r="AD41" s="338"/>
    </row>
    <row r="42" spans="2:30" x14ac:dyDescent="0.2">
      <c r="B42" s="169">
        <v>138</v>
      </c>
      <c r="C42" s="401" t="s">
        <v>40</v>
      </c>
      <c r="D42" s="308">
        <v>17.3</v>
      </c>
      <c r="E42" s="309"/>
      <c r="F42" s="307"/>
      <c r="G42" s="307"/>
      <c r="H42" s="307"/>
      <c r="I42" s="307"/>
      <c r="J42" s="307"/>
      <c r="K42" s="307"/>
      <c r="L42" s="307"/>
      <c r="M42" s="307"/>
      <c r="N42" s="307"/>
      <c r="O42" s="307"/>
      <c r="P42" s="307"/>
      <c r="Q42" s="307"/>
      <c r="R42" s="307"/>
      <c r="S42" s="307"/>
      <c r="T42" s="307"/>
      <c r="U42" s="307"/>
      <c r="V42" s="307"/>
      <c r="W42" s="307"/>
      <c r="X42" s="307"/>
      <c r="Y42" s="307"/>
      <c r="Z42" s="307"/>
      <c r="AA42" s="307"/>
      <c r="AB42" s="310"/>
      <c r="AC42" s="307"/>
      <c r="AD42" s="338"/>
    </row>
    <row r="43" spans="2:30" x14ac:dyDescent="0.2">
      <c r="B43" s="169">
        <v>139</v>
      </c>
      <c r="C43" s="401" t="s">
        <v>41</v>
      </c>
      <c r="D43" s="308">
        <v>4.2</v>
      </c>
      <c r="E43" s="309"/>
      <c r="F43" s="307"/>
      <c r="G43" s="307"/>
      <c r="H43" s="307"/>
      <c r="I43" s="307"/>
      <c r="J43" s="307"/>
      <c r="K43" s="307"/>
      <c r="L43" s="307"/>
      <c r="M43" s="307"/>
      <c r="N43" s="307"/>
      <c r="O43" s="307"/>
      <c r="P43" s="307"/>
      <c r="Q43" s="307"/>
      <c r="R43" s="307"/>
      <c r="S43" s="307"/>
      <c r="T43" s="307"/>
      <c r="U43" s="307"/>
      <c r="V43" s="307"/>
      <c r="W43" s="307"/>
      <c r="X43" s="307"/>
      <c r="Y43" s="307"/>
      <c r="Z43" s="307"/>
      <c r="AA43" s="307"/>
      <c r="AB43" s="310"/>
      <c r="AC43" s="307"/>
      <c r="AD43" s="338"/>
    </row>
    <row r="44" spans="2:30" x14ac:dyDescent="0.2">
      <c r="B44" s="169">
        <v>140</v>
      </c>
      <c r="C44" s="401" t="s">
        <v>42</v>
      </c>
      <c r="D44" s="308">
        <v>31.9</v>
      </c>
      <c r="E44" s="309">
        <v>10</v>
      </c>
      <c r="F44" s="307"/>
      <c r="G44" s="307"/>
      <c r="H44" s="307"/>
      <c r="I44" s="307">
        <v>1</v>
      </c>
      <c r="J44" s="307">
        <v>1</v>
      </c>
      <c r="K44" s="307"/>
      <c r="L44" s="307"/>
      <c r="M44" s="307">
        <v>2</v>
      </c>
      <c r="N44" s="307">
        <v>1</v>
      </c>
      <c r="O44" s="307">
        <v>1</v>
      </c>
      <c r="P44" s="307"/>
      <c r="Q44" s="307"/>
      <c r="R44" s="307"/>
      <c r="S44" s="307"/>
      <c r="T44" s="307"/>
      <c r="U44" s="307">
        <v>1</v>
      </c>
      <c r="V44" s="307"/>
      <c r="W44" s="307">
        <v>6</v>
      </c>
      <c r="X44" s="307"/>
      <c r="Y44" s="307"/>
      <c r="Z44" s="307">
        <v>6</v>
      </c>
      <c r="AA44" s="307"/>
      <c r="AB44" s="310">
        <v>6</v>
      </c>
      <c r="AC44" s="307"/>
      <c r="AD44" s="338"/>
    </row>
    <row r="45" spans="2:30" x14ac:dyDescent="0.2">
      <c r="B45" s="169">
        <v>141</v>
      </c>
      <c r="C45" s="401" t="s">
        <v>17</v>
      </c>
      <c r="D45" s="308">
        <v>1.3</v>
      </c>
      <c r="E45" s="309">
        <v>1</v>
      </c>
      <c r="F45" s="307"/>
      <c r="G45" s="307"/>
      <c r="H45" s="307"/>
      <c r="I45" s="307"/>
      <c r="J45" s="307"/>
      <c r="K45" s="307"/>
      <c r="L45" s="307"/>
      <c r="M45" s="307"/>
      <c r="N45" s="307"/>
      <c r="O45" s="307"/>
      <c r="P45" s="307"/>
      <c r="Q45" s="307"/>
      <c r="R45" s="307">
        <v>1</v>
      </c>
      <c r="S45" s="307"/>
      <c r="T45" s="307"/>
      <c r="U45" s="307"/>
      <c r="V45" s="307"/>
      <c r="W45" s="307">
        <v>1</v>
      </c>
      <c r="X45" s="307"/>
      <c r="Y45" s="307"/>
      <c r="Z45" s="307">
        <v>1</v>
      </c>
      <c r="AA45" s="307"/>
      <c r="AB45" s="310">
        <v>1</v>
      </c>
      <c r="AC45" s="307"/>
      <c r="AD45" s="338"/>
    </row>
    <row r="46" spans="2:30" x14ac:dyDescent="0.2">
      <c r="B46" s="169">
        <v>142</v>
      </c>
      <c r="C46" s="401" t="s">
        <v>43</v>
      </c>
      <c r="D46" s="308">
        <v>4.0999999999999996</v>
      </c>
      <c r="E46" s="309"/>
      <c r="F46" s="307"/>
      <c r="G46" s="307"/>
      <c r="H46" s="307"/>
      <c r="I46" s="307"/>
      <c r="J46" s="307"/>
      <c r="K46" s="307"/>
      <c r="L46" s="307"/>
      <c r="M46" s="307"/>
      <c r="N46" s="307"/>
      <c r="O46" s="307"/>
      <c r="P46" s="307"/>
      <c r="Q46" s="307"/>
      <c r="R46" s="307"/>
      <c r="S46" s="307"/>
      <c r="T46" s="307"/>
      <c r="U46" s="307"/>
      <c r="V46" s="307"/>
      <c r="W46" s="307"/>
      <c r="X46" s="307"/>
      <c r="Y46" s="307"/>
      <c r="Z46" s="307"/>
      <c r="AA46" s="307"/>
      <c r="AB46" s="310"/>
      <c r="AC46" s="307"/>
      <c r="AD46" s="338"/>
    </row>
    <row r="47" spans="2:30" x14ac:dyDescent="0.2">
      <c r="B47" s="169">
        <v>143</v>
      </c>
      <c r="C47" s="401" t="s">
        <v>44</v>
      </c>
      <c r="D47" s="308">
        <v>17.7</v>
      </c>
      <c r="E47" s="309"/>
      <c r="F47" s="307"/>
      <c r="G47" s="307"/>
      <c r="H47" s="307"/>
      <c r="I47" s="307"/>
      <c r="J47" s="307"/>
      <c r="K47" s="307"/>
      <c r="L47" s="307"/>
      <c r="M47" s="307"/>
      <c r="N47" s="307"/>
      <c r="O47" s="307"/>
      <c r="P47" s="307"/>
      <c r="Q47" s="307"/>
      <c r="R47" s="307"/>
      <c r="S47" s="307"/>
      <c r="T47" s="307"/>
      <c r="U47" s="307"/>
      <c r="V47" s="307"/>
      <c r="W47" s="307"/>
      <c r="X47" s="307"/>
      <c r="Y47" s="307"/>
      <c r="Z47" s="307"/>
      <c r="AA47" s="307"/>
      <c r="AB47" s="310"/>
      <c r="AC47" s="307"/>
      <c r="AD47" s="338"/>
    </row>
    <row r="48" spans="2:30" x14ac:dyDescent="0.2">
      <c r="B48" s="169">
        <v>144</v>
      </c>
      <c r="C48" s="401" t="s">
        <v>45</v>
      </c>
      <c r="D48" s="308">
        <v>73.8</v>
      </c>
      <c r="E48" s="309"/>
      <c r="F48" s="307"/>
      <c r="G48" s="307"/>
      <c r="H48" s="307"/>
      <c r="I48" s="307"/>
      <c r="J48" s="307"/>
      <c r="K48" s="307"/>
      <c r="L48" s="307"/>
      <c r="M48" s="307"/>
      <c r="N48" s="307"/>
      <c r="O48" s="307"/>
      <c r="P48" s="307"/>
      <c r="Q48" s="307"/>
      <c r="R48" s="307"/>
      <c r="S48" s="307"/>
      <c r="T48" s="307"/>
      <c r="U48" s="307"/>
      <c r="V48" s="307"/>
      <c r="W48" s="307"/>
      <c r="X48" s="307"/>
      <c r="Y48" s="307"/>
      <c r="Z48" s="307"/>
      <c r="AA48" s="307"/>
      <c r="AB48" s="310"/>
      <c r="AC48" s="307"/>
      <c r="AD48" s="338"/>
    </row>
    <row r="49" spans="2:30" x14ac:dyDescent="0.2">
      <c r="B49" s="169">
        <v>145</v>
      </c>
      <c r="C49" s="401" t="s">
        <v>46</v>
      </c>
      <c r="D49" s="308">
        <v>50</v>
      </c>
      <c r="E49" s="309"/>
      <c r="F49" s="307"/>
      <c r="G49" s="307"/>
      <c r="H49" s="307"/>
      <c r="I49" s="307"/>
      <c r="J49" s="307"/>
      <c r="K49" s="307"/>
      <c r="L49" s="307"/>
      <c r="M49" s="307"/>
      <c r="N49" s="307"/>
      <c r="O49" s="307"/>
      <c r="P49" s="307"/>
      <c r="Q49" s="307"/>
      <c r="R49" s="307"/>
      <c r="S49" s="307"/>
      <c r="T49" s="307"/>
      <c r="U49" s="307"/>
      <c r="V49" s="307"/>
      <c r="W49" s="307"/>
      <c r="X49" s="307"/>
      <c r="Y49" s="307"/>
      <c r="Z49" s="307"/>
      <c r="AA49" s="307"/>
      <c r="AB49" s="310"/>
      <c r="AC49" s="307"/>
      <c r="AD49" s="338"/>
    </row>
    <row r="50" spans="2:30" x14ac:dyDescent="0.2">
      <c r="B50" s="169">
        <v>146</v>
      </c>
      <c r="C50" s="401" t="s">
        <v>47</v>
      </c>
      <c r="D50" s="308">
        <v>73.8</v>
      </c>
      <c r="E50" s="309"/>
      <c r="F50" s="307"/>
      <c r="G50" s="307"/>
      <c r="H50" s="307"/>
      <c r="I50" s="307"/>
      <c r="J50" s="307"/>
      <c r="K50" s="307"/>
      <c r="L50" s="307"/>
      <c r="M50" s="307"/>
      <c r="N50" s="307"/>
      <c r="O50" s="307"/>
      <c r="P50" s="307"/>
      <c r="Q50" s="307"/>
      <c r="R50" s="307"/>
      <c r="S50" s="307"/>
      <c r="T50" s="307"/>
      <c r="U50" s="307"/>
      <c r="V50" s="307"/>
      <c r="W50" s="307"/>
      <c r="X50" s="307"/>
      <c r="Y50" s="307"/>
      <c r="Z50" s="307"/>
      <c r="AA50" s="307"/>
      <c r="AB50" s="310"/>
      <c r="AC50" s="307"/>
      <c r="AD50" s="338"/>
    </row>
    <row r="51" spans="2:30" x14ac:dyDescent="0.2">
      <c r="B51" s="169">
        <v>147</v>
      </c>
      <c r="C51" s="401" t="s">
        <v>48</v>
      </c>
      <c r="D51" s="308">
        <v>22.7</v>
      </c>
      <c r="E51" s="309"/>
      <c r="F51" s="307"/>
      <c r="G51" s="307"/>
      <c r="H51" s="307"/>
      <c r="I51" s="307"/>
      <c r="J51" s="307"/>
      <c r="K51" s="307"/>
      <c r="L51" s="307"/>
      <c r="M51" s="307"/>
      <c r="N51" s="307"/>
      <c r="O51" s="307"/>
      <c r="P51" s="307"/>
      <c r="Q51" s="307"/>
      <c r="R51" s="307"/>
      <c r="S51" s="307"/>
      <c r="T51" s="307"/>
      <c r="U51" s="307"/>
      <c r="V51" s="307"/>
      <c r="W51" s="307"/>
      <c r="X51" s="307"/>
      <c r="Y51" s="307"/>
      <c r="Z51" s="307"/>
      <c r="AA51" s="307"/>
      <c r="AB51" s="310"/>
      <c r="AC51" s="307"/>
      <c r="AD51" s="338"/>
    </row>
    <row r="52" spans="2:30" x14ac:dyDescent="0.2">
      <c r="B52" s="169">
        <v>148</v>
      </c>
      <c r="C52" s="401" t="s">
        <v>49</v>
      </c>
      <c r="D52" s="308">
        <v>48.5</v>
      </c>
      <c r="E52" s="309"/>
      <c r="F52" s="307"/>
      <c r="G52" s="307"/>
      <c r="H52" s="307"/>
      <c r="I52" s="307"/>
      <c r="J52" s="307"/>
      <c r="K52" s="307"/>
      <c r="L52" s="307"/>
      <c r="M52" s="307"/>
      <c r="N52" s="307"/>
      <c r="O52" s="307"/>
      <c r="P52" s="307"/>
      <c r="Q52" s="307"/>
      <c r="R52" s="307"/>
      <c r="S52" s="307"/>
      <c r="T52" s="307"/>
      <c r="U52" s="307"/>
      <c r="V52" s="307"/>
      <c r="W52" s="307"/>
      <c r="X52" s="307"/>
      <c r="Y52" s="307"/>
      <c r="Z52" s="307"/>
      <c r="AA52" s="307"/>
      <c r="AB52" s="310"/>
      <c r="AC52" s="307"/>
      <c r="AD52" s="338"/>
    </row>
    <row r="53" spans="2:30" x14ac:dyDescent="0.2">
      <c r="B53" s="169">
        <v>149</v>
      </c>
      <c r="C53" s="401" t="s">
        <v>50</v>
      </c>
      <c r="D53" s="308">
        <v>14.9</v>
      </c>
      <c r="E53" s="402">
        <v>4</v>
      </c>
      <c r="F53" s="403"/>
      <c r="G53" s="403"/>
      <c r="H53" s="403"/>
      <c r="I53" s="403">
        <v>1</v>
      </c>
      <c r="J53" s="403">
        <v>1</v>
      </c>
      <c r="K53" s="403">
        <v>1</v>
      </c>
      <c r="L53" s="403"/>
      <c r="M53" s="403"/>
      <c r="N53" s="403"/>
      <c r="O53" s="403"/>
      <c r="P53" s="403"/>
      <c r="Q53" s="403">
        <v>1</v>
      </c>
      <c r="R53" s="403"/>
      <c r="S53" s="403"/>
      <c r="T53" s="403" t="s">
        <v>130</v>
      </c>
      <c r="U53" s="403">
        <v>1</v>
      </c>
      <c r="V53" s="403"/>
      <c r="W53" s="403">
        <v>3</v>
      </c>
      <c r="X53" s="403"/>
      <c r="Y53" s="403"/>
      <c r="Z53" s="403">
        <v>3</v>
      </c>
      <c r="AA53" s="403"/>
      <c r="AB53" s="404">
        <v>3</v>
      </c>
      <c r="AC53" s="403"/>
      <c r="AD53" s="405"/>
    </row>
    <row r="54" spans="2:30" x14ac:dyDescent="0.2">
      <c r="B54" s="169">
        <v>150</v>
      </c>
      <c r="C54" s="401" t="s">
        <v>11</v>
      </c>
      <c r="D54" s="308">
        <v>24.4</v>
      </c>
      <c r="E54" s="309"/>
      <c r="F54" s="307"/>
      <c r="G54" s="307"/>
      <c r="H54" s="307"/>
      <c r="I54" s="307"/>
      <c r="J54" s="307"/>
      <c r="K54" s="307"/>
      <c r="L54" s="307"/>
      <c r="M54" s="307"/>
      <c r="N54" s="307"/>
      <c r="O54" s="307"/>
      <c r="P54" s="307"/>
      <c r="Q54" s="307"/>
      <c r="R54" s="307"/>
      <c r="S54" s="307"/>
      <c r="T54" s="307"/>
      <c r="U54" s="307"/>
      <c r="V54" s="307"/>
      <c r="W54" s="307"/>
      <c r="X54" s="307"/>
      <c r="Y54" s="307"/>
      <c r="Z54" s="307"/>
      <c r="AA54" s="307"/>
      <c r="AB54" s="310"/>
      <c r="AC54" s="307"/>
      <c r="AD54" s="338"/>
    </row>
    <row r="55" spans="2:30" x14ac:dyDescent="0.2">
      <c r="B55" s="169">
        <v>151</v>
      </c>
      <c r="C55" s="401" t="s">
        <v>16</v>
      </c>
      <c r="D55" s="308">
        <v>36.6</v>
      </c>
      <c r="E55" s="309"/>
      <c r="F55" s="307"/>
      <c r="G55" s="307"/>
      <c r="H55" s="307"/>
      <c r="I55" s="307"/>
      <c r="J55" s="307"/>
      <c r="K55" s="307"/>
      <c r="L55" s="307"/>
      <c r="M55" s="307"/>
      <c r="N55" s="307"/>
      <c r="O55" s="307"/>
      <c r="P55" s="307"/>
      <c r="Q55" s="307"/>
      <c r="R55" s="307"/>
      <c r="S55" s="307"/>
      <c r="T55" s="307"/>
      <c r="U55" s="307"/>
      <c r="V55" s="307"/>
      <c r="W55" s="307"/>
      <c r="X55" s="307"/>
      <c r="Y55" s="307"/>
      <c r="Z55" s="307"/>
      <c r="AA55" s="307"/>
      <c r="AB55" s="310"/>
      <c r="AC55" s="307"/>
      <c r="AD55" s="338"/>
    </row>
    <row r="56" spans="2:30" x14ac:dyDescent="0.2">
      <c r="B56" s="169">
        <v>152</v>
      </c>
      <c r="C56" s="401" t="s">
        <v>51</v>
      </c>
      <c r="D56" s="308">
        <v>3.6</v>
      </c>
      <c r="E56" s="309"/>
      <c r="F56" s="307"/>
      <c r="G56" s="307"/>
      <c r="H56" s="307"/>
      <c r="I56" s="307"/>
      <c r="J56" s="307"/>
      <c r="K56" s="307"/>
      <c r="L56" s="307"/>
      <c r="M56" s="307"/>
      <c r="N56" s="307"/>
      <c r="O56" s="307"/>
      <c r="P56" s="307"/>
      <c r="Q56" s="307"/>
      <c r="R56" s="307"/>
      <c r="S56" s="307"/>
      <c r="T56" s="307"/>
      <c r="U56" s="307"/>
      <c r="V56" s="307"/>
      <c r="W56" s="307"/>
      <c r="X56" s="307"/>
      <c r="Y56" s="307"/>
      <c r="Z56" s="307"/>
      <c r="AA56" s="307"/>
      <c r="AB56" s="310"/>
      <c r="AC56" s="307"/>
      <c r="AD56" s="338"/>
    </row>
    <row r="57" spans="2:30" x14ac:dyDescent="0.2">
      <c r="B57" s="169">
        <v>153</v>
      </c>
      <c r="C57" s="401" t="s">
        <v>52</v>
      </c>
      <c r="D57" s="308">
        <v>4</v>
      </c>
      <c r="E57" s="309"/>
      <c r="F57" s="307"/>
      <c r="G57" s="307"/>
      <c r="H57" s="307"/>
      <c r="I57" s="307"/>
      <c r="J57" s="307"/>
      <c r="K57" s="307"/>
      <c r="L57" s="307"/>
      <c r="M57" s="307"/>
      <c r="N57" s="307"/>
      <c r="O57" s="307"/>
      <c r="P57" s="307"/>
      <c r="Q57" s="307"/>
      <c r="R57" s="307"/>
      <c r="S57" s="307"/>
      <c r="T57" s="307"/>
      <c r="U57" s="307"/>
      <c r="V57" s="307"/>
      <c r="W57" s="307"/>
      <c r="X57" s="307"/>
      <c r="Y57" s="307"/>
      <c r="Z57" s="307"/>
      <c r="AA57" s="307"/>
      <c r="AB57" s="310"/>
      <c r="AC57" s="307"/>
      <c r="AD57" s="338"/>
    </row>
    <row r="58" spans="2:30" x14ac:dyDescent="0.2">
      <c r="B58" s="169">
        <v>154</v>
      </c>
      <c r="C58" s="401" t="s">
        <v>53</v>
      </c>
      <c r="D58" s="308">
        <v>15.6</v>
      </c>
      <c r="E58" s="309"/>
      <c r="F58" s="307"/>
      <c r="G58" s="307"/>
      <c r="H58" s="307"/>
      <c r="I58" s="307"/>
      <c r="J58" s="307"/>
      <c r="K58" s="307"/>
      <c r="L58" s="307"/>
      <c r="M58" s="307"/>
      <c r="N58" s="307"/>
      <c r="O58" s="307"/>
      <c r="P58" s="307"/>
      <c r="Q58" s="307"/>
      <c r="R58" s="307"/>
      <c r="S58" s="307"/>
      <c r="T58" s="307"/>
      <c r="U58" s="307"/>
      <c r="V58" s="307"/>
      <c r="W58" s="307"/>
      <c r="X58" s="307"/>
      <c r="Y58" s="307"/>
      <c r="Z58" s="307"/>
      <c r="AA58" s="307"/>
      <c r="AB58" s="310"/>
      <c r="AC58" s="307"/>
      <c r="AD58" s="338"/>
    </row>
    <row r="59" spans="2:30" x14ac:dyDescent="0.2">
      <c r="B59" s="169">
        <v>155</v>
      </c>
      <c r="C59" s="401" t="s">
        <v>16</v>
      </c>
      <c r="D59" s="308">
        <v>12.1</v>
      </c>
      <c r="E59" s="309"/>
      <c r="F59" s="307"/>
      <c r="G59" s="307"/>
      <c r="H59" s="307"/>
      <c r="I59" s="307"/>
      <c r="J59" s="307"/>
      <c r="K59" s="307"/>
      <c r="L59" s="307"/>
      <c r="M59" s="307"/>
      <c r="N59" s="307"/>
      <c r="O59" s="307"/>
      <c r="P59" s="307"/>
      <c r="Q59" s="307"/>
      <c r="R59" s="307"/>
      <c r="S59" s="307"/>
      <c r="T59" s="307"/>
      <c r="U59" s="307"/>
      <c r="V59" s="307"/>
      <c r="W59" s="307"/>
      <c r="X59" s="307"/>
      <c r="Y59" s="307"/>
      <c r="Z59" s="307"/>
      <c r="AA59" s="307"/>
      <c r="AB59" s="310"/>
      <c r="AC59" s="307"/>
      <c r="AD59" s="338"/>
    </row>
    <row r="60" spans="2:30" x14ac:dyDescent="0.2">
      <c r="B60" s="169">
        <v>156</v>
      </c>
      <c r="C60" s="401" t="s">
        <v>54</v>
      </c>
      <c r="D60" s="308">
        <v>5.0999999999999996</v>
      </c>
      <c r="E60" s="309"/>
      <c r="F60" s="307"/>
      <c r="G60" s="307"/>
      <c r="H60" s="307"/>
      <c r="I60" s="307"/>
      <c r="J60" s="307"/>
      <c r="K60" s="307"/>
      <c r="L60" s="307"/>
      <c r="M60" s="307"/>
      <c r="N60" s="307"/>
      <c r="O60" s="307"/>
      <c r="P60" s="307"/>
      <c r="Q60" s="307"/>
      <c r="R60" s="307"/>
      <c r="S60" s="307"/>
      <c r="T60" s="307"/>
      <c r="U60" s="307"/>
      <c r="V60" s="307"/>
      <c r="W60" s="307"/>
      <c r="X60" s="307"/>
      <c r="Y60" s="307"/>
      <c r="Z60" s="307"/>
      <c r="AA60" s="307"/>
      <c r="AB60" s="310"/>
      <c r="AC60" s="307"/>
      <c r="AD60" s="338"/>
    </row>
    <row r="61" spans="2:30" x14ac:dyDescent="0.2">
      <c r="B61" s="169">
        <v>157</v>
      </c>
      <c r="C61" s="401" t="s">
        <v>22</v>
      </c>
      <c r="D61" s="308">
        <v>3.9</v>
      </c>
      <c r="E61" s="309"/>
      <c r="F61" s="307"/>
      <c r="G61" s="307"/>
      <c r="H61" s="307"/>
      <c r="I61" s="307"/>
      <c r="J61" s="307"/>
      <c r="K61" s="307"/>
      <c r="L61" s="307"/>
      <c r="M61" s="307"/>
      <c r="N61" s="307"/>
      <c r="O61" s="307"/>
      <c r="P61" s="307"/>
      <c r="Q61" s="307"/>
      <c r="R61" s="307"/>
      <c r="S61" s="307"/>
      <c r="T61" s="307"/>
      <c r="U61" s="307"/>
      <c r="V61" s="307"/>
      <c r="W61" s="307"/>
      <c r="X61" s="307"/>
      <c r="Y61" s="307"/>
      <c r="Z61" s="307"/>
      <c r="AA61" s="307"/>
      <c r="AB61" s="310"/>
      <c r="AC61" s="307"/>
      <c r="AD61" s="338"/>
    </row>
    <row r="62" spans="2:30" x14ac:dyDescent="0.2">
      <c r="B62" s="169">
        <v>158</v>
      </c>
      <c r="C62" s="401" t="s">
        <v>55</v>
      </c>
      <c r="D62" s="308">
        <v>2</v>
      </c>
      <c r="E62" s="309"/>
      <c r="F62" s="307"/>
      <c r="G62" s="307"/>
      <c r="H62" s="307"/>
      <c r="I62" s="307">
        <v>1</v>
      </c>
      <c r="J62" s="307">
        <v>1</v>
      </c>
      <c r="K62" s="307"/>
      <c r="L62" s="307"/>
      <c r="M62" s="307"/>
      <c r="N62" s="307"/>
      <c r="O62" s="307"/>
      <c r="P62" s="307"/>
      <c r="Q62" s="307"/>
      <c r="R62" s="307"/>
      <c r="S62" s="307"/>
      <c r="T62" s="307"/>
      <c r="U62" s="307"/>
      <c r="V62" s="307">
        <v>1</v>
      </c>
      <c r="W62" s="307"/>
      <c r="X62" s="307"/>
      <c r="Y62" s="307"/>
      <c r="Z62" s="307"/>
      <c r="AA62" s="307"/>
      <c r="AB62" s="310"/>
      <c r="AC62" s="307"/>
      <c r="AD62" s="338"/>
    </row>
    <row r="63" spans="2:30" x14ac:dyDescent="0.2">
      <c r="B63" s="169">
        <v>159</v>
      </c>
      <c r="C63" s="401" t="s">
        <v>17</v>
      </c>
      <c r="D63" s="308">
        <v>2.2999999999999998</v>
      </c>
      <c r="E63" s="309"/>
      <c r="F63" s="307">
        <v>1</v>
      </c>
      <c r="G63" s="307"/>
      <c r="H63" s="307"/>
      <c r="I63" s="307"/>
      <c r="J63" s="307"/>
      <c r="K63" s="307"/>
      <c r="L63" s="307"/>
      <c r="M63" s="307"/>
      <c r="N63" s="307"/>
      <c r="O63" s="307"/>
      <c r="P63" s="307"/>
      <c r="Q63" s="307"/>
      <c r="R63" s="307">
        <v>1</v>
      </c>
      <c r="S63" s="307"/>
      <c r="T63" s="307"/>
      <c r="U63" s="307"/>
      <c r="V63" s="307"/>
      <c r="W63" s="307"/>
      <c r="X63" s="307">
        <v>1</v>
      </c>
      <c r="Y63" s="307"/>
      <c r="Z63" s="307">
        <v>1</v>
      </c>
      <c r="AA63" s="307"/>
      <c r="AB63" s="310">
        <v>1</v>
      </c>
      <c r="AC63" s="307"/>
      <c r="AD63" s="338"/>
    </row>
    <row r="64" spans="2:30" x14ac:dyDescent="0.2">
      <c r="B64" s="169">
        <v>160</v>
      </c>
      <c r="C64" s="401" t="s">
        <v>16</v>
      </c>
      <c r="D64" s="308">
        <v>4.5</v>
      </c>
      <c r="E64" s="309"/>
      <c r="F64" s="307"/>
      <c r="G64" s="307"/>
      <c r="H64" s="307"/>
      <c r="I64" s="307"/>
      <c r="J64" s="307"/>
      <c r="K64" s="307"/>
      <c r="L64" s="307"/>
      <c r="M64" s="307"/>
      <c r="N64" s="307"/>
      <c r="O64" s="307"/>
      <c r="P64" s="307"/>
      <c r="Q64" s="307"/>
      <c r="R64" s="307"/>
      <c r="S64" s="307"/>
      <c r="T64" s="307"/>
      <c r="U64" s="307"/>
      <c r="V64" s="307"/>
      <c r="W64" s="307"/>
      <c r="X64" s="307"/>
      <c r="Y64" s="307"/>
      <c r="Z64" s="307"/>
      <c r="AA64" s="307"/>
      <c r="AB64" s="310"/>
      <c r="AC64" s="307"/>
      <c r="AD64" s="338"/>
    </row>
    <row r="65" spans="2:30" x14ac:dyDescent="0.2">
      <c r="B65" s="169">
        <v>161</v>
      </c>
      <c r="C65" s="401" t="s">
        <v>56</v>
      </c>
      <c r="D65" s="308">
        <v>7</v>
      </c>
      <c r="E65" s="309"/>
      <c r="F65" s="307"/>
      <c r="G65" s="307"/>
      <c r="H65" s="307"/>
      <c r="I65" s="307"/>
      <c r="J65" s="307"/>
      <c r="K65" s="307"/>
      <c r="L65" s="307"/>
      <c r="M65" s="307"/>
      <c r="N65" s="307"/>
      <c r="O65" s="307"/>
      <c r="P65" s="307"/>
      <c r="Q65" s="307"/>
      <c r="R65" s="307"/>
      <c r="S65" s="307"/>
      <c r="T65" s="307"/>
      <c r="U65" s="307"/>
      <c r="V65" s="307"/>
      <c r="W65" s="307"/>
      <c r="X65" s="307"/>
      <c r="Y65" s="307"/>
      <c r="Z65" s="307"/>
      <c r="AA65" s="307"/>
      <c r="AB65" s="310"/>
      <c r="AC65" s="307"/>
      <c r="AD65" s="338"/>
    </row>
    <row r="66" spans="2:30" x14ac:dyDescent="0.2">
      <c r="B66" s="169">
        <v>163</v>
      </c>
      <c r="C66" s="401" t="s">
        <v>57</v>
      </c>
      <c r="D66" s="308">
        <v>4.4000000000000004</v>
      </c>
      <c r="E66" s="309"/>
      <c r="F66" s="307"/>
      <c r="G66" s="307"/>
      <c r="H66" s="307"/>
      <c r="I66" s="307"/>
      <c r="J66" s="307"/>
      <c r="K66" s="307"/>
      <c r="L66" s="307"/>
      <c r="M66" s="307"/>
      <c r="N66" s="307"/>
      <c r="O66" s="307"/>
      <c r="P66" s="307"/>
      <c r="Q66" s="307"/>
      <c r="R66" s="307"/>
      <c r="S66" s="307"/>
      <c r="T66" s="307"/>
      <c r="U66" s="307"/>
      <c r="V66" s="307"/>
      <c r="W66" s="307"/>
      <c r="X66" s="307"/>
      <c r="Y66" s="307"/>
      <c r="Z66" s="307"/>
      <c r="AA66" s="307"/>
      <c r="AB66" s="310"/>
      <c r="AC66" s="307"/>
      <c r="AD66" s="338"/>
    </row>
    <row r="67" spans="2:30" x14ac:dyDescent="0.2">
      <c r="B67" s="169">
        <v>165</v>
      </c>
      <c r="C67" s="401" t="s">
        <v>58</v>
      </c>
      <c r="D67" s="308">
        <v>5.3</v>
      </c>
      <c r="E67" s="309"/>
      <c r="F67" s="307"/>
      <c r="G67" s="307"/>
      <c r="H67" s="307"/>
      <c r="I67" s="307"/>
      <c r="J67" s="307"/>
      <c r="K67" s="307"/>
      <c r="L67" s="307"/>
      <c r="M67" s="307"/>
      <c r="N67" s="307"/>
      <c r="O67" s="307"/>
      <c r="P67" s="307"/>
      <c r="Q67" s="307"/>
      <c r="R67" s="307"/>
      <c r="S67" s="307"/>
      <c r="T67" s="307"/>
      <c r="U67" s="307"/>
      <c r="V67" s="307"/>
      <c r="W67" s="307"/>
      <c r="X67" s="307"/>
      <c r="Y67" s="307"/>
      <c r="Z67" s="307"/>
      <c r="AA67" s="307"/>
      <c r="AB67" s="310"/>
      <c r="AC67" s="307"/>
      <c r="AD67" s="338"/>
    </row>
    <row r="68" spans="2:30" x14ac:dyDescent="0.2">
      <c r="B68" s="169">
        <v>166</v>
      </c>
      <c r="C68" s="401" t="s">
        <v>59</v>
      </c>
      <c r="D68" s="308">
        <v>4.4000000000000004</v>
      </c>
      <c r="E68" s="309"/>
      <c r="F68" s="307"/>
      <c r="G68" s="307"/>
      <c r="H68" s="307"/>
      <c r="I68" s="307"/>
      <c r="J68" s="307"/>
      <c r="K68" s="307"/>
      <c r="L68" s="307"/>
      <c r="M68" s="307"/>
      <c r="N68" s="307"/>
      <c r="O68" s="307"/>
      <c r="P68" s="307"/>
      <c r="Q68" s="307"/>
      <c r="R68" s="307"/>
      <c r="S68" s="307"/>
      <c r="T68" s="307"/>
      <c r="U68" s="307"/>
      <c r="V68" s="307"/>
      <c r="W68" s="307"/>
      <c r="X68" s="307"/>
      <c r="Y68" s="307"/>
      <c r="Z68" s="307"/>
      <c r="AA68" s="307"/>
      <c r="AB68" s="310"/>
      <c r="AC68" s="307"/>
      <c r="AD68" s="338"/>
    </row>
    <row r="69" spans="2:30" x14ac:dyDescent="0.2">
      <c r="B69" s="169">
        <v>167</v>
      </c>
      <c r="C69" s="401" t="s">
        <v>60</v>
      </c>
      <c r="D69" s="308">
        <v>3.2</v>
      </c>
      <c r="E69" s="309"/>
      <c r="F69" s="307"/>
      <c r="G69" s="307"/>
      <c r="H69" s="307"/>
      <c r="I69" s="307"/>
      <c r="J69" s="307"/>
      <c r="K69" s="307"/>
      <c r="L69" s="307"/>
      <c r="M69" s="307"/>
      <c r="N69" s="307"/>
      <c r="O69" s="307"/>
      <c r="P69" s="307"/>
      <c r="Q69" s="307"/>
      <c r="R69" s="307"/>
      <c r="S69" s="307"/>
      <c r="T69" s="307"/>
      <c r="U69" s="307"/>
      <c r="V69" s="307"/>
      <c r="W69" s="307"/>
      <c r="X69" s="307"/>
      <c r="Y69" s="307"/>
      <c r="Z69" s="307"/>
      <c r="AA69" s="307"/>
      <c r="AB69" s="310"/>
      <c r="AC69" s="307"/>
      <c r="AD69" s="338"/>
    </row>
    <row r="70" spans="2:30" x14ac:dyDescent="0.2">
      <c r="B70" s="169">
        <v>168</v>
      </c>
      <c r="C70" s="401" t="s">
        <v>61</v>
      </c>
      <c r="D70" s="308">
        <v>5.0999999999999996</v>
      </c>
      <c r="E70" s="309"/>
      <c r="F70" s="307"/>
      <c r="G70" s="307"/>
      <c r="H70" s="307"/>
      <c r="I70" s="307"/>
      <c r="J70" s="307"/>
      <c r="K70" s="307"/>
      <c r="L70" s="307"/>
      <c r="M70" s="307"/>
      <c r="N70" s="307"/>
      <c r="O70" s="307"/>
      <c r="P70" s="307"/>
      <c r="Q70" s="307"/>
      <c r="R70" s="307"/>
      <c r="S70" s="307"/>
      <c r="T70" s="307"/>
      <c r="U70" s="307"/>
      <c r="V70" s="307"/>
      <c r="W70" s="307"/>
      <c r="X70" s="307"/>
      <c r="Y70" s="307"/>
      <c r="Z70" s="307"/>
      <c r="AA70" s="307"/>
      <c r="AB70" s="310"/>
      <c r="AC70" s="307"/>
      <c r="AD70" s="338"/>
    </row>
    <row r="71" spans="2:30" x14ac:dyDescent="0.2">
      <c r="B71" s="169">
        <v>169</v>
      </c>
      <c r="C71" s="401" t="s">
        <v>60</v>
      </c>
      <c r="D71" s="308">
        <v>26.7</v>
      </c>
      <c r="E71" s="309"/>
      <c r="F71" s="307"/>
      <c r="G71" s="307"/>
      <c r="H71" s="307"/>
      <c r="I71" s="307"/>
      <c r="J71" s="307"/>
      <c r="K71" s="307"/>
      <c r="L71" s="307"/>
      <c r="M71" s="307"/>
      <c r="N71" s="307"/>
      <c r="O71" s="307"/>
      <c r="P71" s="307"/>
      <c r="Q71" s="307"/>
      <c r="R71" s="307"/>
      <c r="S71" s="307"/>
      <c r="T71" s="307"/>
      <c r="U71" s="307"/>
      <c r="V71" s="307"/>
      <c r="W71" s="307"/>
      <c r="X71" s="307"/>
      <c r="Y71" s="307"/>
      <c r="Z71" s="307"/>
      <c r="AA71" s="307"/>
      <c r="AB71" s="310"/>
      <c r="AC71" s="307"/>
      <c r="AD71" s="338"/>
    </row>
    <row r="72" spans="2:30" x14ac:dyDescent="0.2">
      <c r="B72" s="169">
        <v>170</v>
      </c>
      <c r="C72" s="401" t="s">
        <v>12</v>
      </c>
      <c r="D72" s="308">
        <v>9.4</v>
      </c>
      <c r="E72" s="309"/>
      <c r="F72" s="307"/>
      <c r="G72" s="307"/>
      <c r="H72" s="307"/>
      <c r="I72" s="307"/>
      <c r="J72" s="307"/>
      <c r="K72" s="307"/>
      <c r="L72" s="307"/>
      <c r="M72" s="307"/>
      <c r="N72" s="307"/>
      <c r="O72" s="307"/>
      <c r="P72" s="307"/>
      <c r="Q72" s="307"/>
      <c r="R72" s="307"/>
      <c r="S72" s="307"/>
      <c r="T72" s="307"/>
      <c r="U72" s="307"/>
      <c r="V72" s="307"/>
      <c r="W72" s="307"/>
      <c r="X72" s="307"/>
      <c r="Y72" s="307"/>
      <c r="Z72" s="307"/>
      <c r="AA72" s="307"/>
      <c r="AB72" s="310"/>
      <c r="AC72" s="307"/>
      <c r="AD72" s="338"/>
    </row>
    <row r="73" spans="2:30" x14ac:dyDescent="0.2">
      <c r="B73" s="169">
        <v>171</v>
      </c>
      <c r="C73" s="401" t="s">
        <v>12</v>
      </c>
      <c r="D73" s="308">
        <v>9.5</v>
      </c>
      <c r="E73" s="309"/>
      <c r="F73" s="307"/>
      <c r="G73" s="307"/>
      <c r="H73" s="307"/>
      <c r="I73" s="307"/>
      <c r="J73" s="307"/>
      <c r="K73" s="307"/>
      <c r="L73" s="307"/>
      <c r="M73" s="307"/>
      <c r="N73" s="307"/>
      <c r="O73" s="307"/>
      <c r="P73" s="307"/>
      <c r="Q73" s="307"/>
      <c r="R73" s="307"/>
      <c r="S73" s="307"/>
      <c r="T73" s="307"/>
      <c r="U73" s="307"/>
      <c r="V73" s="307"/>
      <c r="W73" s="307"/>
      <c r="X73" s="307"/>
      <c r="Y73" s="307"/>
      <c r="Z73" s="307"/>
      <c r="AA73" s="307"/>
      <c r="AB73" s="310"/>
      <c r="AC73" s="307"/>
      <c r="AD73" s="338"/>
    </row>
    <row r="74" spans="2:30" x14ac:dyDescent="0.2">
      <c r="B74" s="169">
        <v>172</v>
      </c>
      <c r="C74" s="401" t="s">
        <v>62</v>
      </c>
      <c r="D74" s="308">
        <v>176.6</v>
      </c>
      <c r="E74" s="166">
        <v>3</v>
      </c>
      <c r="F74" s="168"/>
      <c r="G74" s="168"/>
      <c r="H74" s="168"/>
      <c r="I74" s="168"/>
      <c r="J74" s="168"/>
      <c r="K74" s="168"/>
      <c r="L74" s="168">
        <v>1</v>
      </c>
      <c r="M74" s="168"/>
      <c r="N74" s="168"/>
      <c r="O74" s="168"/>
      <c r="P74" s="168"/>
      <c r="Q74" s="168"/>
      <c r="R74" s="307"/>
      <c r="S74" s="307"/>
      <c r="T74" s="168"/>
      <c r="U74" s="168"/>
      <c r="V74" s="168"/>
      <c r="W74" s="307"/>
      <c r="X74" s="307"/>
      <c r="Y74" s="307"/>
      <c r="Z74" s="168"/>
      <c r="AA74" s="168"/>
      <c r="AB74" s="306"/>
      <c r="AC74" s="168"/>
      <c r="AD74" s="308"/>
    </row>
    <row r="75" spans="2:30" ht="13.5" thickBot="1" x14ac:dyDescent="0.25">
      <c r="B75" s="409">
        <v>173</v>
      </c>
      <c r="C75" s="410" t="s">
        <v>63</v>
      </c>
      <c r="D75" s="314">
        <v>2.2000000000000002</v>
      </c>
      <c r="E75" s="411"/>
      <c r="F75" s="313"/>
      <c r="G75" s="313"/>
      <c r="H75" s="313"/>
      <c r="I75" s="313"/>
      <c r="J75" s="313"/>
      <c r="K75" s="313"/>
      <c r="L75" s="313"/>
      <c r="M75" s="313"/>
      <c r="N75" s="313"/>
      <c r="O75" s="313"/>
      <c r="P75" s="313"/>
      <c r="Q75" s="313"/>
      <c r="R75" s="412"/>
      <c r="S75" s="412"/>
      <c r="T75" s="313"/>
      <c r="U75" s="313"/>
      <c r="V75" s="313"/>
      <c r="W75" s="412"/>
      <c r="X75" s="412"/>
      <c r="Y75" s="412"/>
      <c r="Z75" s="313"/>
      <c r="AA75" s="313"/>
      <c r="AB75" s="312"/>
      <c r="AC75" s="313"/>
      <c r="AD75" s="314"/>
    </row>
    <row r="76" spans="2:30" x14ac:dyDescent="0.2">
      <c r="B76" s="413"/>
      <c r="C76" s="414" t="s">
        <v>1</v>
      </c>
      <c r="D76" s="415">
        <f t="shared" ref="D76" si="0">SUM(D5:D75)</f>
        <v>1786.3999999999999</v>
      </c>
      <c r="E76" s="171">
        <f t="shared" ref="E76:AD76" si="1">SUM(E14:E75)</f>
        <v>33</v>
      </c>
      <c r="F76" s="173">
        <f t="shared" si="1"/>
        <v>4</v>
      </c>
      <c r="G76" s="173">
        <f t="shared" si="1"/>
        <v>1</v>
      </c>
      <c r="H76" s="173">
        <f t="shared" si="1"/>
        <v>1</v>
      </c>
      <c r="I76" s="173">
        <f t="shared" si="1"/>
        <v>7</v>
      </c>
      <c r="J76" s="173">
        <f t="shared" si="1"/>
        <v>7</v>
      </c>
      <c r="K76" s="173">
        <f t="shared" si="1"/>
        <v>2</v>
      </c>
      <c r="L76" s="173">
        <f t="shared" si="1"/>
        <v>1</v>
      </c>
      <c r="M76" s="173">
        <f t="shared" si="1"/>
        <v>4</v>
      </c>
      <c r="N76" s="173">
        <f t="shared" si="1"/>
        <v>2</v>
      </c>
      <c r="O76" s="173">
        <f t="shared" si="1"/>
        <v>2</v>
      </c>
      <c r="P76" s="173">
        <f t="shared" si="1"/>
        <v>1</v>
      </c>
      <c r="Q76" s="173">
        <f t="shared" si="1"/>
        <v>1</v>
      </c>
      <c r="R76" s="416">
        <f t="shared" si="1"/>
        <v>6</v>
      </c>
      <c r="S76" s="416">
        <f t="shared" si="1"/>
        <v>1</v>
      </c>
      <c r="T76" s="173">
        <f t="shared" si="1"/>
        <v>1</v>
      </c>
      <c r="U76" s="173">
        <f t="shared" si="1"/>
        <v>4</v>
      </c>
      <c r="V76" s="173">
        <f t="shared" si="1"/>
        <v>3</v>
      </c>
      <c r="W76" s="416">
        <f t="shared" si="1"/>
        <v>20</v>
      </c>
      <c r="X76" s="416">
        <f t="shared" si="1"/>
        <v>3</v>
      </c>
      <c r="Y76" s="416">
        <f t="shared" si="1"/>
        <v>1</v>
      </c>
      <c r="Z76" s="173">
        <f t="shared" si="1"/>
        <v>23</v>
      </c>
      <c r="AA76" s="173">
        <f t="shared" si="1"/>
        <v>1</v>
      </c>
      <c r="AB76" s="342">
        <f t="shared" si="1"/>
        <v>24</v>
      </c>
      <c r="AC76" s="173">
        <f t="shared" si="1"/>
        <v>1</v>
      </c>
      <c r="AD76" s="417">
        <f t="shared" si="1"/>
        <v>1</v>
      </c>
    </row>
    <row r="77" spans="2:30" ht="13.5" thickBot="1" x14ac:dyDescent="0.25">
      <c r="B77" s="179"/>
      <c r="C77" s="418" t="s">
        <v>96</v>
      </c>
      <c r="D77" s="419">
        <f>D76+gridas_2st!D52+'gridas_3 st'!D7</f>
        <v>8755.4</v>
      </c>
      <c r="E77" s="176">
        <f>E76+santehn_2st!E52</f>
        <v>61</v>
      </c>
      <c r="F77" s="178">
        <f>F76+santehn_2st!F52+santehn_3st!E7</f>
        <v>10</v>
      </c>
      <c r="G77" s="178">
        <f>G76</f>
        <v>1</v>
      </c>
      <c r="H77" s="178">
        <f>H76+santehn_2st!G52</f>
        <v>2</v>
      </c>
      <c r="I77" s="178">
        <f>I76+santehn_2st!H52</f>
        <v>14</v>
      </c>
      <c r="J77" s="178">
        <f>J76+santehn_2st!I52</f>
        <v>14</v>
      </c>
      <c r="K77" s="178">
        <f>K76+santehn_2st!J52</f>
        <v>4</v>
      </c>
      <c r="L77" s="178">
        <f>L76</f>
        <v>1</v>
      </c>
      <c r="M77" s="178">
        <f>M76+santehn_2st!K52</f>
        <v>8</v>
      </c>
      <c r="N77" s="178">
        <f>N76+santehn_2st!L52</f>
        <v>4</v>
      </c>
      <c r="O77" s="178">
        <f>O76+santehn_2st!M52</f>
        <v>4</v>
      </c>
      <c r="P77" s="178">
        <f>P76+santehn_2st!N52</f>
        <v>2</v>
      </c>
      <c r="Q77" s="178">
        <f>Q76+santehn_2st!O52</f>
        <v>2</v>
      </c>
      <c r="R77" s="178">
        <f>R76+santehn_2st!P52+santehn_3st!F7</f>
        <v>12</v>
      </c>
      <c r="S77" s="420">
        <f>S76</f>
        <v>1</v>
      </c>
      <c r="T77" s="178">
        <f>T76+santehn_2st!Q52</f>
        <v>2</v>
      </c>
      <c r="U77" s="178">
        <f>U76+santehn_2st!R52</f>
        <v>10</v>
      </c>
      <c r="V77" s="178">
        <f>V76+santehn_2st!S52</f>
        <v>4</v>
      </c>
      <c r="W77" s="420">
        <f>W76+santehn_2st!U52</f>
        <v>38</v>
      </c>
      <c r="X77" s="420">
        <f>X76+santehn_2st!V52</f>
        <v>5</v>
      </c>
      <c r="Y77" s="420">
        <f>Y76+santehn_2st!W52</f>
        <v>2</v>
      </c>
      <c r="Z77" s="178">
        <f>Z76+santehn_2st!X52</f>
        <v>43</v>
      </c>
      <c r="AA77" s="178">
        <f>AA76+santehn_2st!Y52</f>
        <v>2</v>
      </c>
      <c r="AB77" s="421">
        <f>AB76+santehn_2st!AA52</f>
        <v>51</v>
      </c>
      <c r="AC77" s="178">
        <f>AC76+santehn_2st!AB52</f>
        <v>2</v>
      </c>
      <c r="AD77" s="422">
        <f>AD76+santehn_2st!AC52</f>
        <v>2</v>
      </c>
    </row>
    <row r="78" spans="2:30" x14ac:dyDescent="0.2">
      <c r="E78" s="311"/>
      <c r="F78" s="311"/>
      <c r="G78" s="311"/>
      <c r="H78" s="311"/>
      <c r="I78" s="311"/>
      <c r="J78" s="311"/>
      <c r="K78" s="311"/>
      <c r="L78" s="311"/>
      <c r="M78" s="311"/>
      <c r="N78" s="311"/>
      <c r="O78" s="311"/>
      <c r="P78" s="311"/>
      <c r="Q78" s="311"/>
      <c r="R78" s="423"/>
      <c r="S78" s="423"/>
      <c r="T78" s="311"/>
      <c r="U78" s="311"/>
      <c r="V78" s="311"/>
      <c r="W78" s="423"/>
      <c r="X78" s="423"/>
      <c r="Y78" s="423"/>
      <c r="Z78" s="311"/>
      <c r="AA78" s="311"/>
      <c r="AB78" s="311"/>
    </row>
    <row r="79" spans="2:30" ht="13.5" x14ac:dyDescent="0.25">
      <c r="B79" s="181" t="s">
        <v>157</v>
      </c>
      <c r="C79" s="182"/>
      <c r="D79" s="183"/>
      <c r="E79" s="184"/>
      <c r="I79" s="181" t="s">
        <v>159</v>
      </c>
      <c r="J79" s="181"/>
    </row>
    <row r="80" spans="2:30" ht="13.5" x14ac:dyDescent="0.25">
      <c r="B80" s="181" t="s">
        <v>158</v>
      </c>
      <c r="C80" s="182"/>
      <c r="D80" s="183"/>
      <c r="E80" s="184"/>
      <c r="I80" s="181"/>
      <c r="J80" s="181" t="s">
        <v>103</v>
      </c>
    </row>
    <row r="81" spans="2:10" x14ac:dyDescent="0.2">
      <c r="B81" s="185"/>
      <c r="C81" s="181" t="s">
        <v>98</v>
      </c>
      <c r="D81" s="183"/>
      <c r="E81" s="184"/>
      <c r="I81" s="181"/>
      <c r="J81" s="181" t="s">
        <v>102</v>
      </c>
    </row>
    <row r="82" spans="2:10" x14ac:dyDescent="0.2">
      <c r="B82" s="151"/>
      <c r="D82" s="183"/>
      <c r="E82" s="184"/>
      <c r="I82" s="181"/>
      <c r="J82" s="181" t="s">
        <v>118</v>
      </c>
    </row>
    <row r="83" spans="2:10" x14ac:dyDescent="0.2">
      <c r="B83" s="151"/>
      <c r="D83" s="183"/>
      <c r="E83" s="184"/>
    </row>
    <row r="84" spans="2:10" x14ac:dyDescent="0.2">
      <c r="B84" s="151"/>
      <c r="D84" s="183"/>
      <c r="E84" s="184"/>
    </row>
    <row r="85" spans="2:10" x14ac:dyDescent="0.2">
      <c r="B85" s="151"/>
    </row>
  </sheetData>
  <mergeCells count="1">
    <mergeCell ref="E2:AD2"/>
  </mergeCells>
  <pageMargins left="0.7" right="0.7" top="0.75" bottom="0.75" header="0.3" footer="0.3"/>
  <pageSetup paperSize="257" orientation="portrait" horizontalDpi="4294967293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60"/>
  <sheetViews>
    <sheetView zoomScale="70" zoomScaleNormal="70" workbookViewId="0">
      <pane ySplit="4" topLeftCell="A5" activePane="bottomLeft" state="frozen"/>
      <selection pane="bottomLeft" activeCell="AF32" sqref="AF32"/>
    </sheetView>
  </sheetViews>
  <sheetFormatPr defaultRowHeight="15" x14ac:dyDescent="0.25"/>
  <cols>
    <col min="1" max="1" width="1.85546875" style="103" customWidth="1"/>
    <col min="2" max="2" width="5.7109375" style="102" customWidth="1"/>
    <col min="3" max="3" width="28.42578125" style="103" customWidth="1"/>
    <col min="4" max="4" width="11.85546875" style="102" customWidth="1"/>
    <col min="5" max="5" width="6.85546875" style="103" bestFit="1" customWidth="1"/>
    <col min="6" max="6" width="3.85546875" style="103" bestFit="1" customWidth="1"/>
    <col min="7" max="7" width="6.85546875" style="103" bestFit="1" customWidth="1"/>
    <col min="8" max="8" width="3.85546875" style="103" bestFit="1" customWidth="1"/>
    <col min="9" max="16" width="6.85546875" style="103" bestFit="1" customWidth="1"/>
    <col min="17" max="17" width="5" style="103" customWidth="1"/>
    <col min="18" max="21" width="6.85546875" style="103" bestFit="1" customWidth="1"/>
    <col min="22" max="23" width="3.85546875" style="103" bestFit="1" customWidth="1"/>
    <col min="24" max="29" width="6.85546875" style="103" bestFit="1" customWidth="1"/>
    <col min="30" max="16384" width="9.140625" style="103"/>
  </cols>
  <sheetData>
    <row r="1" spans="2:29" ht="15.75" thickBot="1" x14ac:dyDescent="0.3"/>
    <row r="2" spans="2:29" s="322" customFormat="1" ht="15.75" thickBot="1" x14ac:dyDescent="0.3">
      <c r="B2" s="366"/>
      <c r="D2" s="366"/>
      <c r="E2" s="624" t="s">
        <v>7</v>
      </c>
      <c r="F2" s="625"/>
      <c r="G2" s="625"/>
      <c r="H2" s="625"/>
      <c r="I2" s="625"/>
      <c r="J2" s="625"/>
      <c r="K2" s="625"/>
      <c r="L2" s="625"/>
      <c r="M2" s="625"/>
      <c r="N2" s="625"/>
      <c r="O2" s="625"/>
      <c r="P2" s="625"/>
      <c r="Q2" s="625"/>
      <c r="R2" s="625"/>
      <c r="S2" s="625"/>
      <c r="T2" s="625"/>
      <c r="U2" s="625"/>
      <c r="V2" s="625"/>
      <c r="W2" s="625"/>
      <c r="X2" s="625"/>
      <c r="Y2" s="625"/>
      <c r="Z2" s="625"/>
      <c r="AA2" s="625"/>
      <c r="AB2" s="625"/>
      <c r="AC2" s="626"/>
    </row>
    <row r="3" spans="2:29" s="322" customFormat="1" ht="15.75" thickBot="1" x14ac:dyDescent="0.3">
      <c r="B3" s="366"/>
      <c r="D3" s="366"/>
      <c r="E3" s="367">
        <v>1</v>
      </c>
      <c r="F3" s="368">
        <v>2</v>
      </c>
      <c r="G3" s="368">
        <v>4</v>
      </c>
      <c r="H3" s="368">
        <v>5</v>
      </c>
      <c r="I3" s="368">
        <v>6</v>
      </c>
      <c r="J3" s="368">
        <v>7</v>
      </c>
      <c r="K3" s="368">
        <v>9</v>
      </c>
      <c r="L3" s="369">
        <v>10</v>
      </c>
      <c r="M3" s="369">
        <v>11</v>
      </c>
      <c r="N3" s="368">
        <v>12</v>
      </c>
      <c r="O3" s="368">
        <v>13</v>
      </c>
      <c r="P3" s="368">
        <v>14</v>
      </c>
      <c r="Q3" s="368">
        <v>16</v>
      </c>
      <c r="R3" s="368">
        <v>17</v>
      </c>
      <c r="S3" s="370">
        <v>18</v>
      </c>
      <c r="T3" s="370">
        <v>19</v>
      </c>
      <c r="U3" s="368">
        <v>20</v>
      </c>
      <c r="V3" s="369">
        <v>21</v>
      </c>
      <c r="W3" s="368">
        <v>22</v>
      </c>
      <c r="X3" s="368">
        <v>23</v>
      </c>
      <c r="Y3" s="368">
        <v>25</v>
      </c>
      <c r="Z3" s="369">
        <v>26</v>
      </c>
      <c r="AA3" s="370">
        <v>27</v>
      </c>
      <c r="AB3" s="368">
        <v>28</v>
      </c>
      <c r="AC3" s="424">
        <v>29</v>
      </c>
    </row>
    <row r="4" spans="2:29" s="322" customFormat="1" ht="239.25" customHeight="1" thickBot="1" x14ac:dyDescent="0.3">
      <c r="B4" s="104" t="s">
        <v>5</v>
      </c>
      <c r="C4" s="105" t="s">
        <v>3</v>
      </c>
      <c r="D4" s="106" t="s">
        <v>138</v>
      </c>
      <c r="E4" s="425" t="s">
        <v>239</v>
      </c>
      <c r="F4" s="426" t="s">
        <v>294</v>
      </c>
      <c r="G4" s="426" t="s">
        <v>295</v>
      </c>
      <c r="H4" s="426" t="s">
        <v>296</v>
      </c>
      <c r="I4" s="426" t="s">
        <v>297</v>
      </c>
      <c r="J4" s="426" t="s">
        <v>240</v>
      </c>
      <c r="K4" s="426" t="s">
        <v>241</v>
      </c>
      <c r="L4" s="426" t="s">
        <v>298</v>
      </c>
      <c r="M4" s="426" t="s">
        <v>299</v>
      </c>
      <c r="N4" s="426" t="s">
        <v>300</v>
      </c>
      <c r="O4" s="426" t="s">
        <v>301</v>
      </c>
      <c r="P4" s="426" t="s">
        <v>242</v>
      </c>
      <c r="Q4" s="426" t="s">
        <v>243</v>
      </c>
      <c r="R4" s="426" t="s">
        <v>244</v>
      </c>
      <c r="S4" s="426" t="s">
        <v>302</v>
      </c>
      <c r="T4" s="426" t="s">
        <v>303</v>
      </c>
      <c r="U4" s="426" t="s">
        <v>245</v>
      </c>
      <c r="V4" s="426" t="s">
        <v>246</v>
      </c>
      <c r="W4" s="426" t="s">
        <v>304</v>
      </c>
      <c r="X4" s="426" t="s">
        <v>247</v>
      </c>
      <c r="Y4" s="426" t="s">
        <v>305</v>
      </c>
      <c r="Z4" s="426" t="s">
        <v>306</v>
      </c>
      <c r="AA4" s="426" t="s">
        <v>248</v>
      </c>
      <c r="AB4" s="426" t="s">
        <v>307</v>
      </c>
      <c r="AC4" s="427" t="s">
        <v>308</v>
      </c>
    </row>
    <row r="5" spans="2:29" s="322" customFormat="1" x14ac:dyDescent="0.25">
      <c r="B5" s="82">
        <v>201</v>
      </c>
      <c r="C5" s="113" t="s">
        <v>16</v>
      </c>
      <c r="D5" s="88">
        <v>73.5</v>
      </c>
      <c r="E5" s="252"/>
      <c r="F5" s="251"/>
      <c r="G5" s="251"/>
      <c r="H5" s="251"/>
      <c r="I5" s="251"/>
      <c r="J5" s="251"/>
      <c r="K5" s="251"/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117"/>
    </row>
    <row r="6" spans="2:29" s="322" customFormat="1" x14ac:dyDescent="0.25">
      <c r="B6" s="118">
        <v>202</v>
      </c>
      <c r="C6" s="119" t="s">
        <v>64</v>
      </c>
      <c r="D6" s="212">
        <v>45.2</v>
      </c>
      <c r="E6" s="125"/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124"/>
    </row>
    <row r="7" spans="2:29" s="322" customFormat="1" x14ac:dyDescent="0.25">
      <c r="B7" s="118">
        <v>203</v>
      </c>
      <c r="C7" s="119" t="s">
        <v>64</v>
      </c>
      <c r="D7" s="212">
        <v>45.2</v>
      </c>
      <c r="E7" s="125"/>
      <c r="F7" s="220"/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20"/>
      <c r="R7" s="220"/>
      <c r="S7" s="220"/>
      <c r="T7" s="220"/>
      <c r="U7" s="220"/>
      <c r="V7" s="220"/>
      <c r="W7" s="220"/>
      <c r="X7" s="220"/>
      <c r="Y7" s="220"/>
      <c r="Z7" s="220"/>
      <c r="AA7" s="220"/>
      <c r="AB7" s="220"/>
      <c r="AC7" s="124"/>
    </row>
    <row r="8" spans="2:29" s="322" customFormat="1" x14ac:dyDescent="0.25">
      <c r="B8" s="118">
        <v>204</v>
      </c>
      <c r="C8" s="119" t="s">
        <v>16</v>
      </c>
      <c r="D8" s="212">
        <v>37.299999999999997</v>
      </c>
      <c r="E8" s="125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124"/>
    </row>
    <row r="9" spans="2:29" s="322" customFormat="1" x14ac:dyDescent="0.25">
      <c r="B9" s="118">
        <v>205</v>
      </c>
      <c r="C9" s="119" t="s">
        <v>65</v>
      </c>
      <c r="D9" s="212">
        <v>18.7</v>
      </c>
      <c r="E9" s="125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  <c r="Y9" s="220"/>
      <c r="Z9" s="220"/>
      <c r="AA9" s="220"/>
      <c r="AB9" s="220"/>
      <c r="AC9" s="124"/>
    </row>
    <row r="10" spans="2:29" s="322" customFormat="1" x14ac:dyDescent="0.25">
      <c r="B10" s="125">
        <v>206</v>
      </c>
      <c r="C10" s="126" t="s">
        <v>17</v>
      </c>
      <c r="D10" s="122">
        <v>4.9000000000000004</v>
      </c>
      <c r="E10" s="125"/>
      <c r="F10" s="220">
        <v>1</v>
      </c>
      <c r="G10" s="220"/>
      <c r="H10" s="220"/>
      <c r="I10" s="220"/>
      <c r="J10" s="220"/>
      <c r="K10" s="220"/>
      <c r="L10" s="220"/>
      <c r="M10" s="220"/>
      <c r="N10" s="220"/>
      <c r="O10" s="220"/>
      <c r="P10" s="220">
        <v>1</v>
      </c>
      <c r="Q10" s="220"/>
      <c r="R10" s="220"/>
      <c r="S10" s="220"/>
      <c r="T10" s="220"/>
      <c r="U10" s="220"/>
      <c r="V10" s="220">
        <v>1</v>
      </c>
      <c r="W10" s="220"/>
      <c r="X10" s="220">
        <v>1</v>
      </c>
      <c r="Y10" s="220"/>
      <c r="Z10" s="220"/>
      <c r="AA10" s="220">
        <v>1</v>
      </c>
      <c r="AB10" s="220"/>
      <c r="AC10" s="124"/>
    </row>
    <row r="11" spans="2:29" s="322" customFormat="1" x14ac:dyDescent="0.25">
      <c r="B11" s="118">
        <v>207</v>
      </c>
      <c r="C11" s="119" t="s">
        <v>66</v>
      </c>
      <c r="D11" s="212">
        <v>22.3</v>
      </c>
      <c r="E11" s="125"/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20"/>
      <c r="Z11" s="220"/>
      <c r="AA11" s="220"/>
      <c r="AB11" s="220"/>
      <c r="AC11" s="124"/>
    </row>
    <row r="12" spans="2:29" s="322" customFormat="1" x14ac:dyDescent="0.25">
      <c r="B12" s="118">
        <v>208</v>
      </c>
      <c r="C12" s="119" t="s">
        <v>67</v>
      </c>
      <c r="D12" s="212">
        <v>37.6</v>
      </c>
      <c r="E12" s="125"/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20"/>
      <c r="Z12" s="220"/>
      <c r="AA12" s="220"/>
      <c r="AB12" s="220"/>
      <c r="AC12" s="124"/>
    </row>
    <row r="13" spans="2:29" s="322" customFormat="1" x14ac:dyDescent="0.25">
      <c r="B13" s="118">
        <v>209</v>
      </c>
      <c r="C13" s="119" t="s">
        <v>22</v>
      </c>
      <c r="D13" s="212">
        <v>12.7</v>
      </c>
      <c r="E13" s="125"/>
      <c r="F13" s="220"/>
      <c r="G13" s="220"/>
      <c r="H13" s="220"/>
      <c r="I13" s="220"/>
      <c r="J13" s="220"/>
      <c r="K13" s="220"/>
      <c r="L13" s="220"/>
      <c r="M13" s="220"/>
      <c r="N13" s="220"/>
      <c r="O13" s="220"/>
      <c r="P13" s="220"/>
      <c r="Q13" s="220"/>
      <c r="R13" s="220"/>
      <c r="S13" s="220"/>
      <c r="T13" s="220"/>
      <c r="U13" s="220"/>
      <c r="V13" s="220"/>
      <c r="W13" s="220"/>
      <c r="X13" s="220"/>
      <c r="Y13" s="220"/>
      <c r="Z13" s="220"/>
      <c r="AA13" s="220"/>
      <c r="AB13" s="220"/>
      <c r="AC13" s="124"/>
    </row>
    <row r="14" spans="2:29" s="322" customFormat="1" x14ac:dyDescent="0.25">
      <c r="B14" s="118">
        <v>210</v>
      </c>
      <c r="C14" s="119" t="s">
        <v>23</v>
      </c>
      <c r="D14" s="212">
        <v>2.7</v>
      </c>
      <c r="E14" s="125"/>
      <c r="F14" s="220"/>
      <c r="G14" s="220"/>
      <c r="H14" s="220">
        <v>1</v>
      </c>
      <c r="I14" s="220">
        <v>1</v>
      </c>
      <c r="J14" s="220"/>
      <c r="K14" s="220"/>
      <c r="L14" s="220"/>
      <c r="M14" s="220"/>
      <c r="N14" s="220"/>
      <c r="O14" s="220"/>
      <c r="P14" s="220"/>
      <c r="Q14" s="220"/>
      <c r="R14" s="220"/>
      <c r="S14" s="220">
        <v>1</v>
      </c>
      <c r="T14" s="220"/>
      <c r="U14" s="220"/>
      <c r="V14" s="220"/>
      <c r="W14" s="220"/>
      <c r="X14" s="220"/>
      <c r="Y14" s="220"/>
      <c r="Z14" s="220"/>
      <c r="AA14" s="220"/>
      <c r="AB14" s="220"/>
      <c r="AC14" s="124"/>
    </row>
    <row r="15" spans="2:29" s="371" customFormat="1" x14ac:dyDescent="0.25">
      <c r="B15" s="118">
        <v>211</v>
      </c>
      <c r="C15" s="119" t="s">
        <v>17</v>
      </c>
      <c r="D15" s="212">
        <v>2.5</v>
      </c>
      <c r="E15" s="428"/>
      <c r="F15" s="220">
        <v>1</v>
      </c>
      <c r="G15" s="220"/>
      <c r="H15" s="220"/>
      <c r="I15" s="220"/>
      <c r="J15" s="220"/>
      <c r="K15" s="220"/>
      <c r="L15" s="220"/>
      <c r="M15" s="220"/>
      <c r="N15" s="220"/>
      <c r="O15" s="220"/>
      <c r="P15" s="220">
        <v>1</v>
      </c>
      <c r="Q15" s="220"/>
      <c r="R15" s="220"/>
      <c r="S15" s="220"/>
      <c r="T15" s="220"/>
      <c r="U15" s="220"/>
      <c r="V15" s="220">
        <v>1</v>
      </c>
      <c r="W15" s="220"/>
      <c r="X15" s="220">
        <v>1</v>
      </c>
      <c r="Y15" s="220"/>
      <c r="Z15" s="220"/>
      <c r="AA15" s="220">
        <v>1</v>
      </c>
      <c r="AB15" s="220"/>
      <c r="AC15" s="124"/>
    </row>
    <row r="16" spans="2:29" s="371" customFormat="1" x14ac:dyDescent="0.25">
      <c r="B16" s="118">
        <v>212</v>
      </c>
      <c r="C16" s="119" t="s">
        <v>24</v>
      </c>
      <c r="D16" s="212">
        <v>8.1</v>
      </c>
      <c r="E16" s="428"/>
      <c r="F16" s="429"/>
      <c r="G16" s="429"/>
      <c r="H16" s="429"/>
      <c r="I16" s="429"/>
      <c r="J16" s="429"/>
      <c r="K16" s="429"/>
      <c r="L16" s="429"/>
      <c r="M16" s="429"/>
      <c r="N16" s="429"/>
      <c r="O16" s="429"/>
      <c r="P16" s="429"/>
      <c r="Q16" s="429"/>
      <c r="R16" s="429"/>
      <c r="S16" s="429"/>
      <c r="T16" s="429"/>
      <c r="U16" s="429"/>
      <c r="V16" s="429"/>
      <c r="W16" s="429"/>
      <c r="X16" s="429"/>
      <c r="Y16" s="429"/>
      <c r="Z16" s="429"/>
      <c r="AA16" s="429"/>
      <c r="AB16" s="429"/>
      <c r="AC16" s="430"/>
    </row>
    <row r="17" spans="2:29" s="322" customFormat="1" x14ac:dyDescent="0.25">
      <c r="B17" s="118">
        <v>213</v>
      </c>
      <c r="C17" s="119" t="s">
        <v>11</v>
      </c>
      <c r="D17" s="212">
        <v>24.1</v>
      </c>
      <c r="E17" s="125"/>
      <c r="F17" s="220"/>
      <c r="G17" s="220"/>
      <c r="H17" s="220"/>
      <c r="I17" s="220"/>
      <c r="J17" s="220"/>
      <c r="K17" s="220"/>
      <c r="L17" s="220"/>
      <c r="M17" s="220"/>
      <c r="N17" s="220"/>
      <c r="O17" s="220"/>
      <c r="P17" s="220"/>
      <c r="Q17" s="220"/>
      <c r="R17" s="220"/>
      <c r="S17" s="220"/>
      <c r="T17" s="220"/>
      <c r="U17" s="220"/>
      <c r="V17" s="220"/>
      <c r="W17" s="220"/>
      <c r="X17" s="220"/>
      <c r="Y17" s="220"/>
      <c r="Z17" s="220"/>
      <c r="AA17" s="220"/>
      <c r="AB17" s="220"/>
      <c r="AC17" s="124"/>
    </row>
    <row r="18" spans="2:29" x14ac:dyDescent="0.25">
      <c r="B18" s="118">
        <v>214</v>
      </c>
      <c r="C18" s="119" t="s">
        <v>68</v>
      </c>
      <c r="D18" s="212">
        <v>14.5</v>
      </c>
      <c r="E18" s="118">
        <v>4</v>
      </c>
      <c r="F18" s="121"/>
      <c r="G18" s="121"/>
      <c r="H18" s="121">
        <v>1</v>
      </c>
      <c r="I18" s="121">
        <v>1</v>
      </c>
      <c r="J18" s="121">
        <v>1</v>
      </c>
      <c r="K18" s="121"/>
      <c r="L18" s="121"/>
      <c r="M18" s="121"/>
      <c r="N18" s="121">
        <v>1</v>
      </c>
      <c r="O18" s="121"/>
      <c r="P18" s="121"/>
      <c r="Q18" s="121"/>
      <c r="R18" s="121">
        <v>1</v>
      </c>
      <c r="S18" s="121"/>
      <c r="T18" s="121">
        <v>1</v>
      </c>
      <c r="U18" s="121">
        <v>3</v>
      </c>
      <c r="V18" s="121"/>
      <c r="W18" s="121"/>
      <c r="X18" s="121">
        <v>3</v>
      </c>
      <c r="Y18" s="121"/>
      <c r="Z18" s="121">
        <v>1</v>
      </c>
      <c r="AA18" s="121">
        <v>4</v>
      </c>
      <c r="AB18" s="121"/>
      <c r="AC18" s="120"/>
    </row>
    <row r="19" spans="2:29" x14ac:dyDescent="0.25">
      <c r="B19" s="118">
        <v>215</v>
      </c>
      <c r="C19" s="119" t="s">
        <v>69</v>
      </c>
      <c r="D19" s="212">
        <v>48.5</v>
      </c>
      <c r="E19" s="118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0"/>
    </row>
    <row r="20" spans="2:29" x14ac:dyDescent="0.25">
      <c r="B20" s="118">
        <v>216</v>
      </c>
      <c r="C20" s="119" t="s">
        <v>70</v>
      </c>
      <c r="D20" s="212">
        <v>73.8</v>
      </c>
      <c r="E20" s="118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0"/>
    </row>
    <row r="21" spans="2:29" x14ac:dyDescent="0.25">
      <c r="B21" s="118">
        <v>217</v>
      </c>
      <c r="C21" s="119" t="s">
        <v>71</v>
      </c>
      <c r="D21" s="212">
        <v>22.7</v>
      </c>
      <c r="E21" s="118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0"/>
    </row>
    <row r="22" spans="2:29" x14ac:dyDescent="0.25">
      <c r="B22" s="118">
        <v>218</v>
      </c>
      <c r="C22" s="119" t="s">
        <v>72</v>
      </c>
      <c r="D22" s="212">
        <v>50</v>
      </c>
      <c r="E22" s="118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0"/>
    </row>
    <row r="23" spans="2:29" x14ac:dyDescent="0.25">
      <c r="B23" s="118">
        <v>219</v>
      </c>
      <c r="C23" s="119" t="s">
        <v>73</v>
      </c>
      <c r="D23" s="212">
        <v>73.8</v>
      </c>
      <c r="E23" s="118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0"/>
    </row>
    <row r="24" spans="2:29" x14ac:dyDescent="0.25">
      <c r="B24" s="118">
        <v>220</v>
      </c>
      <c r="C24" s="119" t="s">
        <v>74</v>
      </c>
      <c r="D24" s="212">
        <v>22.2</v>
      </c>
      <c r="E24" s="118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0"/>
    </row>
    <row r="25" spans="2:29" x14ac:dyDescent="0.25">
      <c r="B25" s="118">
        <v>221</v>
      </c>
      <c r="C25" s="119" t="s">
        <v>75</v>
      </c>
      <c r="D25" s="212">
        <v>33.200000000000003</v>
      </c>
      <c r="E25" s="118">
        <v>10</v>
      </c>
      <c r="F25" s="121"/>
      <c r="G25" s="121"/>
      <c r="H25" s="121">
        <v>2</v>
      </c>
      <c r="I25" s="121">
        <v>2</v>
      </c>
      <c r="J25" s="121"/>
      <c r="K25" s="121">
        <v>2</v>
      </c>
      <c r="L25" s="121">
        <v>1</v>
      </c>
      <c r="M25" s="121">
        <v>1</v>
      </c>
      <c r="N25" s="121"/>
      <c r="O25" s="121"/>
      <c r="P25" s="121"/>
      <c r="Q25" s="121"/>
      <c r="R25" s="121">
        <v>2</v>
      </c>
      <c r="S25" s="121"/>
      <c r="T25" s="121">
        <v>2</v>
      </c>
      <c r="U25" s="121">
        <v>6</v>
      </c>
      <c r="V25" s="121"/>
      <c r="W25" s="121"/>
      <c r="X25" s="121">
        <v>6</v>
      </c>
      <c r="Y25" s="121"/>
      <c r="Z25" s="121">
        <v>2</v>
      </c>
      <c r="AA25" s="121">
        <v>8</v>
      </c>
      <c r="AB25" s="121"/>
      <c r="AC25" s="120"/>
    </row>
    <row r="26" spans="2:29" x14ac:dyDescent="0.25">
      <c r="B26" s="118">
        <v>222</v>
      </c>
      <c r="C26" s="119" t="s">
        <v>76</v>
      </c>
      <c r="D26" s="212">
        <v>21.9</v>
      </c>
      <c r="E26" s="118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0"/>
    </row>
    <row r="27" spans="2:29" x14ac:dyDescent="0.25">
      <c r="B27" s="118">
        <v>223</v>
      </c>
      <c r="C27" s="119" t="s">
        <v>78</v>
      </c>
      <c r="D27" s="212">
        <v>73.8</v>
      </c>
      <c r="E27" s="118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0"/>
    </row>
    <row r="28" spans="2:29" x14ac:dyDescent="0.25">
      <c r="B28" s="118">
        <v>224</v>
      </c>
      <c r="C28" s="119" t="s">
        <v>77</v>
      </c>
      <c r="D28" s="212">
        <v>59.4</v>
      </c>
      <c r="E28" s="118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1"/>
      <c r="AB28" s="121"/>
      <c r="AC28" s="120"/>
    </row>
    <row r="29" spans="2:29" x14ac:dyDescent="0.25">
      <c r="B29" s="118">
        <v>225</v>
      </c>
      <c r="C29" s="119" t="s">
        <v>79</v>
      </c>
      <c r="D29" s="212">
        <v>59.4</v>
      </c>
      <c r="E29" s="118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  <c r="V29" s="121"/>
      <c r="W29" s="121"/>
      <c r="X29" s="121"/>
      <c r="Y29" s="121"/>
      <c r="Z29" s="121"/>
      <c r="AA29" s="121"/>
      <c r="AB29" s="121"/>
      <c r="AC29" s="120"/>
    </row>
    <row r="30" spans="2:29" x14ac:dyDescent="0.25">
      <c r="B30" s="118">
        <v>226</v>
      </c>
      <c r="C30" s="119" t="s">
        <v>80</v>
      </c>
      <c r="D30" s="212">
        <v>73.8</v>
      </c>
      <c r="E30" s="118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  <c r="V30" s="121"/>
      <c r="W30" s="121"/>
      <c r="X30" s="121"/>
      <c r="Y30" s="121"/>
      <c r="Z30" s="121"/>
      <c r="AA30" s="121"/>
      <c r="AB30" s="121"/>
      <c r="AC30" s="120"/>
    </row>
    <row r="31" spans="2:29" x14ac:dyDescent="0.25">
      <c r="B31" s="118">
        <v>227</v>
      </c>
      <c r="C31" s="119" t="s">
        <v>81</v>
      </c>
      <c r="D31" s="212">
        <v>21.9</v>
      </c>
      <c r="E31" s="118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  <c r="V31" s="121"/>
      <c r="W31" s="121"/>
      <c r="X31" s="121"/>
      <c r="Y31" s="121"/>
      <c r="Z31" s="121"/>
      <c r="AA31" s="121"/>
      <c r="AB31" s="121"/>
      <c r="AC31" s="120"/>
    </row>
    <row r="32" spans="2:29" x14ac:dyDescent="0.25">
      <c r="B32" s="118">
        <v>228</v>
      </c>
      <c r="C32" s="119" t="s">
        <v>82</v>
      </c>
      <c r="D32" s="212">
        <v>33.200000000000003</v>
      </c>
      <c r="E32" s="118">
        <v>10</v>
      </c>
      <c r="F32" s="121"/>
      <c r="G32" s="121"/>
      <c r="H32" s="121">
        <v>2</v>
      </c>
      <c r="I32" s="121">
        <v>2</v>
      </c>
      <c r="J32" s="121"/>
      <c r="K32" s="121">
        <v>2</v>
      </c>
      <c r="L32" s="121">
        <v>1</v>
      </c>
      <c r="M32" s="121">
        <v>1</v>
      </c>
      <c r="N32" s="121"/>
      <c r="O32" s="121"/>
      <c r="P32" s="121"/>
      <c r="Q32" s="121"/>
      <c r="R32" s="121">
        <v>2</v>
      </c>
      <c r="S32" s="121"/>
      <c r="T32" s="121">
        <v>2</v>
      </c>
      <c r="U32" s="121">
        <v>6</v>
      </c>
      <c r="V32" s="121"/>
      <c r="W32" s="121"/>
      <c r="X32" s="121">
        <v>6</v>
      </c>
      <c r="Y32" s="121"/>
      <c r="Z32" s="121">
        <v>2</v>
      </c>
      <c r="AA32" s="121">
        <v>8</v>
      </c>
      <c r="AB32" s="121"/>
      <c r="AC32" s="120"/>
    </row>
    <row r="33" spans="2:29" x14ac:dyDescent="0.25">
      <c r="B33" s="118">
        <v>229</v>
      </c>
      <c r="C33" s="119" t="s">
        <v>83</v>
      </c>
      <c r="D33" s="212">
        <v>22.2</v>
      </c>
      <c r="E33" s="118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1"/>
      <c r="AA33" s="121"/>
      <c r="AB33" s="121"/>
      <c r="AC33" s="120"/>
    </row>
    <row r="34" spans="2:29" x14ac:dyDescent="0.25">
      <c r="B34" s="118">
        <v>230</v>
      </c>
      <c r="C34" s="119" t="s">
        <v>84</v>
      </c>
      <c r="D34" s="212">
        <v>73.8</v>
      </c>
      <c r="E34" s="118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1"/>
      <c r="AB34" s="121"/>
      <c r="AC34" s="120"/>
    </row>
    <row r="35" spans="2:29" x14ac:dyDescent="0.25">
      <c r="B35" s="118">
        <v>231</v>
      </c>
      <c r="C35" s="119" t="s">
        <v>85</v>
      </c>
      <c r="D35" s="212">
        <v>50</v>
      </c>
      <c r="E35" s="118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0"/>
    </row>
    <row r="36" spans="2:29" x14ac:dyDescent="0.25">
      <c r="B36" s="118">
        <v>232</v>
      </c>
      <c r="C36" s="119" t="s">
        <v>86</v>
      </c>
      <c r="D36" s="212">
        <v>22.7</v>
      </c>
      <c r="E36" s="118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  <c r="V36" s="121"/>
      <c r="W36" s="121"/>
      <c r="X36" s="121"/>
      <c r="Y36" s="121"/>
      <c r="Z36" s="121"/>
      <c r="AA36" s="121"/>
      <c r="AB36" s="121"/>
      <c r="AC36" s="120"/>
    </row>
    <row r="37" spans="2:29" x14ac:dyDescent="0.25">
      <c r="B37" s="118">
        <v>233</v>
      </c>
      <c r="C37" s="119" t="s">
        <v>87</v>
      </c>
      <c r="D37" s="212">
        <v>73.8</v>
      </c>
      <c r="E37" s="118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0"/>
    </row>
    <row r="38" spans="2:29" x14ac:dyDescent="0.25">
      <c r="B38" s="118">
        <v>234</v>
      </c>
      <c r="C38" s="119" t="s">
        <v>88</v>
      </c>
      <c r="D38" s="212">
        <v>48.5</v>
      </c>
      <c r="E38" s="118"/>
      <c r="F38" s="121"/>
      <c r="G38" s="121"/>
      <c r="H38" s="121"/>
      <c r="I38" s="121"/>
      <c r="J38" s="121"/>
      <c r="K38" s="121"/>
      <c r="L38" s="121"/>
      <c r="M38" s="121"/>
      <c r="N38" s="121"/>
      <c r="O38" s="121"/>
      <c r="P38" s="121"/>
      <c r="Q38" s="121"/>
      <c r="R38" s="121"/>
      <c r="S38" s="121"/>
      <c r="T38" s="121"/>
      <c r="U38" s="121"/>
      <c r="V38" s="121"/>
      <c r="W38" s="121"/>
      <c r="X38" s="121"/>
      <c r="Y38" s="121"/>
      <c r="Z38" s="121"/>
      <c r="AA38" s="121"/>
      <c r="AB38" s="121"/>
      <c r="AC38" s="120"/>
    </row>
    <row r="39" spans="2:29" x14ac:dyDescent="0.25">
      <c r="B39" s="118">
        <v>235</v>
      </c>
      <c r="C39" s="119" t="s">
        <v>89</v>
      </c>
      <c r="D39" s="212">
        <v>14.6</v>
      </c>
      <c r="E39" s="125">
        <v>4</v>
      </c>
      <c r="F39" s="220"/>
      <c r="G39" s="220"/>
      <c r="H39" s="220">
        <v>1</v>
      </c>
      <c r="I39" s="220">
        <v>1</v>
      </c>
      <c r="J39" s="220">
        <v>1</v>
      </c>
      <c r="K39" s="220"/>
      <c r="L39" s="220"/>
      <c r="M39" s="220"/>
      <c r="N39" s="220"/>
      <c r="O39" s="220">
        <v>1</v>
      </c>
      <c r="P39" s="220"/>
      <c r="Q39" s="220"/>
      <c r="R39" s="220">
        <v>1</v>
      </c>
      <c r="S39" s="220"/>
      <c r="T39" s="220">
        <v>1</v>
      </c>
      <c r="U39" s="220">
        <v>3</v>
      </c>
      <c r="V39" s="220"/>
      <c r="W39" s="220"/>
      <c r="X39" s="220">
        <v>3</v>
      </c>
      <c r="Y39" s="220"/>
      <c r="Z39" s="220">
        <v>1</v>
      </c>
      <c r="AA39" s="220">
        <v>4</v>
      </c>
      <c r="AB39" s="220"/>
      <c r="AC39" s="124"/>
    </row>
    <row r="40" spans="2:29" x14ac:dyDescent="0.25">
      <c r="B40" s="118">
        <v>236</v>
      </c>
      <c r="C40" s="119" t="s">
        <v>11</v>
      </c>
      <c r="D40" s="212">
        <v>25.2</v>
      </c>
      <c r="E40" s="118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1"/>
      <c r="AB40" s="121"/>
      <c r="AC40" s="120"/>
    </row>
    <row r="41" spans="2:29" x14ac:dyDescent="0.25">
      <c r="B41" s="118">
        <v>237</v>
      </c>
      <c r="C41" s="119" t="s">
        <v>90</v>
      </c>
      <c r="D41" s="212">
        <v>23.8</v>
      </c>
      <c r="E41" s="118"/>
      <c r="F41" s="121">
        <v>1</v>
      </c>
      <c r="G41" s="121"/>
      <c r="H41" s="121"/>
      <c r="I41" s="121"/>
      <c r="J41" s="121"/>
      <c r="K41" s="121"/>
      <c r="L41" s="121"/>
      <c r="M41" s="121"/>
      <c r="N41" s="121"/>
      <c r="O41" s="121"/>
      <c r="P41" s="121">
        <v>1</v>
      </c>
      <c r="Q41" s="121"/>
      <c r="R41" s="121"/>
      <c r="S41" s="121"/>
      <c r="T41" s="121"/>
      <c r="U41" s="121"/>
      <c r="V41" s="121"/>
      <c r="W41" s="121"/>
      <c r="X41" s="121"/>
      <c r="Y41" s="121"/>
      <c r="Z41" s="121"/>
      <c r="AA41" s="121"/>
      <c r="AB41" s="121"/>
      <c r="AC41" s="120"/>
    </row>
    <row r="42" spans="2:29" x14ac:dyDescent="0.25">
      <c r="B42" s="118">
        <v>238</v>
      </c>
      <c r="C42" s="119" t="s">
        <v>91</v>
      </c>
      <c r="D42" s="212">
        <v>22.2</v>
      </c>
      <c r="E42" s="118"/>
      <c r="F42" s="121">
        <v>1</v>
      </c>
      <c r="G42" s="121"/>
      <c r="H42" s="121"/>
      <c r="I42" s="121"/>
      <c r="J42" s="121"/>
      <c r="K42" s="121"/>
      <c r="L42" s="121"/>
      <c r="M42" s="121"/>
      <c r="N42" s="121"/>
      <c r="O42" s="121"/>
      <c r="P42" s="121">
        <v>1</v>
      </c>
      <c r="Q42" s="121"/>
      <c r="R42" s="121"/>
      <c r="S42" s="121"/>
      <c r="T42" s="121"/>
      <c r="U42" s="121"/>
      <c r="V42" s="121"/>
      <c r="W42" s="121"/>
      <c r="X42" s="121"/>
      <c r="Y42" s="121"/>
      <c r="Z42" s="121"/>
      <c r="AA42" s="121"/>
      <c r="AB42" s="121"/>
      <c r="AC42" s="120"/>
    </row>
    <row r="43" spans="2:29" x14ac:dyDescent="0.25">
      <c r="B43" s="118">
        <v>239</v>
      </c>
      <c r="C43" s="119" t="s">
        <v>17</v>
      </c>
      <c r="D43" s="212">
        <v>5.0999999999999996</v>
      </c>
      <c r="E43" s="118"/>
      <c r="F43" s="121"/>
      <c r="G43" s="121">
        <v>1</v>
      </c>
      <c r="H43" s="121"/>
      <c r="I43" s="121"/>
      <c r="J43" s="121"/>
      <c r="K43" s="121"/>
      <c r="L43" s="121"/>
      <c r="M43" s="121"/>
      <c r="N43" s="121"/>
      <c r="O43" s="121"/>
      <c r="P43" s="121"/>
      <c r="Q43" s="121">
        <v>1</v>
      </c>
      <c r="R43" s="121"/>
      <c r="S43" s="121"/>
      <c r="T43" s="121"/>
      <c r="U43" s="121"/>
      <c r="V43" s="121"/>
      <c r="W43" s="121">
        <v>1</v>
      </c>
      <c r="X43" s="121"/>
      <c r="Y43" s="121">
        <v>1</v>
      </c>
      <c r="Z43" s="121"/>
      <c r="AA43" s="121">
        <v>1</v>
      </c>
      <c r="AB43" s="121">
        <v>1</v>
      </c>
      <c r="AC43" s="120">
        <v>1</v>
      </c>
    </row>
    <row r="44" spans="2:29" x14ac:dyDescent="0.25">
      <c r="B44" s="118">
        <v>240</v>
      </c>
      <c r="C44" s="119" t="s">
        <v>16</v>
      </c>
      <c r="D44" s="212">
        <v>37.299999999999997</v>
      </c>
      <c r="E44" s="118"/>
      <c r="F44" s="121"/>
      <c r="G44" s="121"/>
      <c r="H44" s="121"/>
      <c r="I44" s="121"/>
      <c r="J44" s="121"/>
      <c r="K44" s="121"/>
      <c r="L44" s="121"/>
      <c r="M44" s="121"/>
      <c r="N44" s="121"/>
      <c r="O44" s="121"/>
      <c r="P44" s="121"/>
      <c r="Q44" s="121"/>
      <c r="R44" s="121"/>
      <c r="S44" s="121"/>
      <c r="T44" s="121"/>
      <c r="U44" s="121"/>
      <c r="V44" s="121"/>
      <c r="W44" s="121"/>
      <c r="X44" s="121"/>
      <c r="Y44" s="121"/>
      <c r="Z44" s="121"/>
      <c r="AA44" s="121"/>
      <c r="AB44" s="121"/>
      <c r="AC44" s="120"/>
    </row>
    <row r="45" spans="2:29" x14ac:dyDescent="0.25">
      <c r="B45" s="118">
        <v>241</v>
      </c>
      <c r="C45" s="119" t="s">
        <v>92</v>
      </c>
      <c r="D45" s="212">
        <v>18.3</v>
      </c>
      <c r="E45" s="118"/>
      <c r="F45" s="121">
        <v>1</v>
      </c>
      <c r="G45" s="121"/>
      <c r="H45" s="121"/>
      <c r="I45" s="121"/>
      <c r="J45" s="121"/>
      <c r="K45" s="121"/>
      <c r="L45" s="121"/>
      <c r="M45" s="121"/>
      <c r="N45" s="121"/>
      <c r="O45" s="121"/>
      <c r="P45" s="121">
        <v>1</v>
      </c>
      <c r="Q45" s="121"/>
      <c r="R45" s="121"/>
      <c r="S45" s="121"/>
      <c r="T45" s="121"/>
      <c r="U45" s="121"/>
      <c r="V45" s="121"/>
      <c r="W45" s="121"/>
      <c r="X45" s="121"/>
      <c r="Y45" s="121"/>
      <c r="Z45" s="121"/>
      <c r="AA45" s="121"/>
      <c r="AB45" s="121"/>
      <c r="AC45" s="120"/>
    </row>
    <row r="46" spans="2:29" x14ac:dyDescent="0.25">
      <c r="B46" s="118">
        <v>242</v>
      </c>
      <c r="C46" s="119" t="s">
        <v>65</v>
      </c>
      <c r="D46" s="212">
        <v>24.9</v>
      </c>
      <c r="E46" s="118"/>
      <c r="F46" s="121"/>
      <c r="G46" s="121"/>
      <c r="H46" s="121"/>
      <c r="I46" s="121"/>
      <c r="J46" s="121"/>
      <c r="K46" s="121"/>
      <c r="L46" s="121"/>
      <c r="M46" s="121"/>
      <c r="N46" s="121"/>
      <c r="O46" s="121"/>
      <c r="P46" s="121"/>
      <c r="Q46" s="121"/>
      <c r="R46" s="121"/>
      <c r="S46" s="121"/>
      <c r="T46" s="121"/>
      <c r="U46" s="121"/>
      <c r="V46" s="121"/>
      <c r="W46" s="121"/>
      <c r="X46" s="121"/>
      <c r="Y46" s="121"/>
      <c r="Z46" s="121"/>
      <c r="AA46" s="121"/>
      <c r="AB46" s="121"/>
      <c r="AC46" s="120"/>
    </row>
    <row r="47" spans="2:29" x14ac:dyDescent="0.25">
      <c r="B47" s="118">
        <v>243</v>
      </c>
      <c r="C47" s="119" t="s">
        <v>11</v>
      </c>
      <c r="D47" s="212">
        <v>2.7</v>
      </c>
      <c r="E47" s="118"/>
      <c r="F47" s="121"/>
      <c r="G47" s="121"/>
      <c r="H47" s="121"/>
      <c r="I47" s="121"/>
      <c r="J47" s="121"/>
      <c r="K47" s="121"/>
      <c r="L47" s="121"/>
      <c r="M47" s="121"/>
      <c r="N47" s="121"/>
      <c r="O47" s="121"/>
      <c r="P47" s="121"/>
      <c r="Q47" s="121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0"/>
    </row>
    <row r="48" spans="2:29" x14ac:dyDescent="0.25">
      <c r="B48" s="118">
        <v>244</v>
      </c>
      <c r="C48" s="119" t="s">
        <v>12</v>
      </c>
      <c r="D48" s="212">
        <v>20.100000000000001</v>
      </c>
      <c r="E48" s="118"/>
      <c r="F48" s="121"/>
      <c r="G48" s="121"/>
      <c r="H48" s="121"/>
      <c r="I48" s="121"/>
      <c r="J48" s="121"/>
      <c r="K48" s="121"/>
      <c r="L48" s="121"/>
      <c r="M48" s="121"/>
      <c r="N48" s="121"/>
      <c r="O48" s="121"/>
      <c r="P48" s="121"/>
      <c r="Q48" s="121"/>
      <c r="R48" s="121"/>
      <c r="S48" s="121"/>
      <c r="T48" s="121"/>
      <c r="U48" s="121"/>
      <c r="V48" s="121"/>
      <c r="W48" s="121"/>
      <c r="X48" s="121"/>
      <c r="Y48" s="121"/>
      <c r="Z48" s="121"/>
      <c r="AA48" s="121"/>
      <c r="AB48" s="121"/>
      <c r="AC48" s="120"/>
    </row>
    <row r="49" spans="2:29" x14ac:dyDescent="0.25">
      <c r="B49" s="118">
        <v>245</v>
      </c>
      <c r="C49" s="119" t="s">
        <v>65</v>
      </c>
      <c r="D49" s="212">
        <v>24.9</v>
      </c>
      <c r="E49" s="118"/>
      <c r="F49" s="121"/>
      <c r="G49" s="121"/>
      <c r="H49" s="121"/>
      <c r="I49" s="121"/>
      <c r="J49" s="121"/>
      <c r="K49" s="121"/>
      <c r="L49" s="121"/>
      <c r="M49" s="121"/>
      <c r="N49" s="121"/>
      <c r="O49" s="121"/>
      <c r="P49" s="121"/>
      <c r="Q49" s="121"/>
      <c r="R49" s="121"/>
      <c r="S49" s="121"/>
      <c r="T49" s="121"/>
      <c r="U49" s="121"/>
      <c r="V49" s="121"/>
      <c r="W49" s="121"/>
      <c r="X49" s="121"/>
      <c r="Y49" s="121"/>
      <c r="Z49" s="121"/>
      <c r="AA49" s="121"/>
      <c r="AB49" s="121"/>
      <c r="AC49" s="120"/>
    </row>
    <row r="50" spans="2:29" x14ac:dyDescent="0.25">
      <c r="B50" s="118">
        <v>246</v>
      </c>
      <c r="C50" s="119" t="s">
        <v>93</v>
      </c>
      <c r="D50" s="212">
        <v>128.69999999999999</v>
      </c>
      <c r="E50" s="118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21"/>
      <c r="R50" s="121"/>
      <c r="S50" s="121"/>
      <c r="T50" s="121"/>
      <c r="U50" s="121"/>
      <c r="V50" s="121"/>
      <c r="W50" s="121"/>
      <c r="X50" s="121"/>
      <c r="Y50" s="121"/>
      <c r="Z50" s="121"/>
      <c r="AA50" s="121"/>
      <c r="AB50" s="121"/>
      <c r="AC50" s="120"/>
    </row>
    <row r="51" spans="2:29" ht="15.75" thickBot="1" x14ac:dyDescent="0.3">
      <c r="B51" s="118">
        <v>247</v>
      </c>
      <c r="C51" s="119" t="s">
        <v>94</v>
      </c>
      <c r="D51" s="275">
        <v>16.2</v>
      </c>
      <c r="E51" s="84"/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24"/>
      <c r="Y51" s="224"/>
      <c r="Z51" s="224"/>
      <c r="AA51" s="224"/>
      <c r="AB51" s="224"/>
      <c r="AC51" s="85"/>
    </row>
    <row r="52" spans="2:29" x14ac:dyDescent="0.25">
      <c r="B52" s="86"/>
      <c r="C52" s="347" t="s">
        <v>0</v>
      </c>
      <c r="D52" s="364">
        <f>SUM(D5:D51)</f>
        <v>1671.8999999999999</v>
      </c>
      <c r="E52" s="86">
        <f t="shared" ref="E52:AC52" si="0">SUM(E10:E51)</f>
        <v>28</v>
      </c>
      <c r="F52" s="138">
        <f t="shared" si="0"/>
        <v>5</v>
      </c>
      <c r="G52" s="138">
        <f t="shared" si="0"/>
        <v>1</v>
      </c>
      <c r="H52" s="138">
        <f t="shared" si="0"/>
        <v>7</v>
      </c>
      <c r="I52" s="138">
        <f t="shared" si="0"/>
        <v>7</v>
      </c>
      <c r="J52" s="138">
        <f t="shared" si="0"/>
        <v>2</v>
      </c>
      <c r="K52" s="138">
        <f t="shared" si="0"/>
        <v>4</v>
      </c>
      <c r="L52" s="138">
        <f t="shared" si="0"/>
        <v>2</v>
      </c>
      <c r="M52" s="138">
        <f t="shared" si="0"/>
        <v>2</v>
      </c>
      <c r="N52" s="138">
        <f t="shared" si="0"/>
        <v>1</v>
      </c>
      <c r="O52" s="138">
        <f t="shared" si="0"/>
        <v>1</v>
      </c>
      <c r="P52" s="138">
        <f t="shared" si="0"/>
        <v>5</v>
      </c>
      <c r="Q52" s="138">
        <f t="shared" si="0"/>
        <v>1</v>
      </c>
      <c r="R52" s="138">
        <f t="shared" si="0"/>
        <v>6</v>
      </c>
      <c r="S52" s="138">
        <f t="shared" si="0"/>
        <v>1</v>
      </c>
      <c r="T52" s="138">
        <f t="shared" si="0"/>
        <v>6</v>
      </c>
      <c r="U52" s="138">
        <f t="shared" si="0"/>
        <v>18</v>
      </c>
      <c r="V52" s="138">
        <f t="shared" si="0"/>
        <v>2</v>
      </c>
      <c r="W52" s="138">
        <f t="shared" si="0"/>
        <v>1</v>
      </c>
      <c r="X52" s="138">
        <f t="shared" si="0"/>
        <v>20</v>
      </c>
      <c r="Y52" s="138">
        <f t="shared" si="0"/>
        <v>1</v>
      </c>
      <c r="Z52" s="138">
        <f t="shared" si="0"/>
        <v>6</v>
      </c>
      <c r="AA52" s="138">
        <f t="shared" si="0"/>
        <v>27</v>
      </c>
      <c r="AB52" s="138">
        <f t="shared" si="0"/>
        <v>1</v>
      </c>
      <c r="AC52" s="87">
        <f t="shared" si="0"/>
        <v>1</v>
      </c>
    </row>
    <row r="53" spans="2:29" ht="15.75" thickBot="1" x14ac:dyDescent="0.3">
      <c r="B53" s="141"/>
      <c r="C53" s="142" t="s">
        <v>96</v>
      </c>
      <c r="D53" s="144">
        <f>D52+gridas_1st!D76+'gridas_3 st'!D7</f>
        <v>8640.9</v>
      </c>
      <c r="E53" s="141">
        <f>E52+santehn_1st!E76</f>
        <v>61</v>
      </c>
      <c r="F53" s="143">
        <f>F52+santehn_1st!F76+santehn_3st!E7</f>
        <v>10</v>
      </c>
      <c r="G53" s="143">
        <f>G52+santehn_1st!H76</f>
        <v>2</v>
      </c>
      <c r="H53" s="143">
        <f>H52+santehn_1st!I76</f>
        <v>14</v>
      </c>
      <c r="I53" s="143">
        <f>I52+santehn_1st!J76</f>
        <v>14</v>
      </c>
      <c r="J53" s="143">
        <f>J52+santehn_1st!K76</f>
        <v>4</v>
      </c>
      <c r="K53" s="143">
        <f>K52+santehn_1st!M76</f>
        <v>8</v>
      </c>
      <c r="L53" s="143">
        <f>L52+santehn_1st!N76</f>
        <v>4</v>
      </c>
      <c r="M53" s="143">
        <f>M52+santehn_1st!O76</f>
        <v>4</v>
      </c>
      <c r="N53" s="143">
        <f>N52+santehn_1st!P76</f>
        <v>2</v>
      </c>
      <c r="O53" s="143">
        <f>O52+santehn_1st!Q76</f>
        <v>2</v>
      </c>
      <c r="P53" s="143">
        <f>P52+santehn_1st!R76+santehn_3st!F7</f>
        <v>12</v>
      </c>
      <c r="Q53" s="143">
        <f>Q52+santehn_1st!T76</f>
        <v>2</v>
      </c>
      <c r="R53" s="143">
        <f>R52+santehn_1st!U76</f>
        <v>10</v>
      </c>
      <c r="S53" s="143">
        <f>S52+santehn_1st!V76</f>
        <v>4</v>
      </c>
      <c r="T53" s="143">
        <f>T52</f>
        <v>6</v>
      </c>
      <c r="U53" s="143">
        <f>U52+santehn_1st!W76</f>
        <v>38</v>
      </c>
      <c r="V53" s="143">
        <f>V52+santehn_1st!X76</f>
        <v>5</v>
      </c>
      <c r="W53" s="143">
        <f>+santehn_1st!Y76</f>
        <v>1</v>
      </c>
      <c r="X53" s="143">
        <f>X52+santehn_1st!Z76</f>
        <v>43</v>
      </c>
      <c r="Y53" s="143">
        <f>Y52+santehn_1st!AA76</f>
        <v>2</v>
      </c>
      <c r="Z53" s="143">
        <f>Z52</f>
        <v>6</v>
      </c>
      <c r="AA53" s="143">
        <f>AA52+santehn_1st!AB76</f>
        <v>51</v>
      </c>
      <c r="AB53" s="143">
        <f>santehn_2st!AB52+santehn_1st!AC76</f>
        <v>2</v>
      </c>
      <c r="AC53" s="98">
        <f>AC52+santehn_1st!AD76</f>
        <v>2</v>
      </c>
    </row>
    <row r="55" spans="2:29" x14ac:dyDescent="0.25">
      <c r="B55" s="146" t="s">
        <v>149</v>
      </c>
      <c r="C55" s="147"/>
      <c r="D55" s="148"/>
      <c r="L55" s="146" t="s">
        <v>150</v>
      </c>
      <c r="M55" s="146"/>
    </row>
    <row r="56" spans="2:29" x14ac:dyDescent="0.25">
      <c r="B56" s="146" t="s">
        <v>151</v>
      </c>
      <c r="C56" s="147"/>
      <c r="D56" s="148"/>
      <c r="L56" s="146"/>
      <c r="M56" s="146" t="s">
        <v>103</v>
      </c>
    </row>
    <row r="57" spans="2:29" x14ac:dyDescent="0.25">
      <c r="B57" s="150"/>
      <c r="C57" s="146" t="s">
        <v>98</v>
      </c>
      <c r="D57" s="148"/>
      <c r="L57" s="146"/>
      <c r="M57" s="146" t="s">
        <v>102</v>
      </c>
    </row>
    <row r="58" spans="2:29" x14ac:dyDescent="0.25">
      <c r="D58" s="148"/>
      <c r="L58" s="146"/>
      <c r="M58" s="146" t="s">
        <v>115</v>
      </c>
    </row>
    <row r="59" spans="2:29" x14ac:dyDescent="0.25">
      <c r="D59" s="148"/>
    </row>
    <row r="60" spans="2:29" x14ac:dyDescent="0.25">
      <c r="D60" s="148"/>
    </row>
  </sheetData>
  <mergeCells count="1">
    <mergeCell ref="E2:AC2"/>
  </mergeCells>
  <pageMargins left="0.7" right="0.7" top="0.75" bottom="0.75" header="0.3" footer="0.3"/>
  <pageSetup paperSize="257" orientation="landscape" horizontalDpi="4294967293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6"/>
  <sheetViews>
    <sheetView zoomScale="130" zoomScaleNormal="130" workbookViewId="0">
      <selection activeCell="R10" sqref="R10"/>
    </sheetView>
  </sheetViews>
  <sheetFormatPr defaultRowHeight="15" x14ac:dyDescent="0.25"/>
  <cols>
    <col min="1" max="1" width="2.7109375" customWidth="1"/>
    <col min="2" max="2" width="9.140625" customWidth="1"/>
    <col min="3" max="3" width="26" customWidth="1"/>
    <col min="4" max="4" width="10.85546875" customWidth="1"/>
    <col min="5" max="5" width="3.85546875" bestFit="1" customWidth="1"/>
    <col min="6" max="6" width="6.85546875" bestFit="1" customWidth="1"/>
  </cols>
  <sheetData>
    <row r="1" spans="2:6" ht="15.75" thickBot="1" x14ac:dyDescent="0.3"/>
    <row r="2" spans="2:6" ht="15.75" thickBot="1" x14ac:dyDescent="0.3">
      <c r="E2" s="616" t="s">
        <v>7</v>
      </c>
      <c r="F2" s="618"/>
    </row>
    <row r="3" spans="2:6" ht="16.5" thickBot="1" x14ac:dyDescent="0.3">
      <c r="B3" s="3"/>
      <c r="C3" s="1"/>
      <c r="D3" s="3"/>
      <c r="E3" s="99">
        <v>2</v>
      </c>
      <c r="F3" s="100">
        <v>14</v>
      </c>
    </row>
    <row r="4" spans="2:6" ht="282.75" customHeight="1" thickBot="1" x14ac:dyDescent="0.3">
      <c r="B4" s="21" t="s">
        <v>5</v>
      </c>
      <c r="C4" s="23" t="s">
        <v>3</v>
      </c>
      <c r="D4" s="26" t="s">
        <v>4</v>
      </c>
      <c r="E4" s="91" t="s">
        <v>131</v>
      </c>
      <c r="F4" s="92" t="s">
        <v>129</v>
      </c>
    </row>
    <row r="5" spans="2:6" ht="15.75" x14ac:dyDescent="0.25">
      <c r="B5" s="12">
        <v>301</v>
      </c>
      <c r="C5" s="13" t="s">
        <v>11</v>
      </c>
      <c r="D5" s="24">
        <v>10</v>
      </c>
      <c r="E5" s="50"/>
      <c r="F5" s="33"/>
    </row>
    <row r="6" spans="2:6" ht="16.5" thickBot="1" x14ac:dyDescent="0.3">
      <c r="B6" s="7">
        <v>302</v>
      </c>
      <c r="C6" s="6" t="s">
        <v>95</v>
      </c>
      <c r="D6" s="25">
        <v>16.2</v>
      </c>
      <c r="E6" s="51">
        <v>1</v>
      </c>
      <c r="F6" s="8">
        <v>1</v>
      </c>
    </row>
    <row r="7" spans="2:6" ht="15.75" x14ac:dyDescent="0.25">
      <c r="B7" s="16"/>
      <c r="C7" s="17" t="s">
        <v>0</v>
      </c>
      <c r="D7" s="29">
        <f>SUM(D5:D6)</f>
        <v>26.2</v>
      </c>
      <c r="E7" s="76">
        <f>SUM(E6)</f>
        <v>1</v>
      </c>
      <c r="F7" s="18">
        <f>SUM(F6)</f>
        <v>1</v>
      </c>
    </row>
    <row r="8" spans="2:6" ht="16.5" thickBot="1" x14ac:dyDescent="0.3">
      <c r="B8" s="9"/>
      <c r="C8" s="19" t="s">
        <v>96</v>
      </c>
      <c r="D8" s="30">
        <f>D7+gridas_1st!D75+gridas_2st!D51</f>
        <v>3484.5</v>
      </c>
      <c r="E8" s="20">
        <f>E7+santehn_1st!F76+santehn_2st!F52</f>
        <v>10</v>
      </c>
      <c r="F8" s="11">
        <f>F7+santehn_1st!R76+santehn_2st!P52</f>
        <v>12</v>
      </c>
    </row>
    <row r="10" spans="2:6" ht="15.75" x14ac:dyDescent="0.25">
      <c r="B10" s="61" t="s">
        <v>99</v>
      </c>
      <c r="C10" s="62"/>
      <c r="D10" s="57"/>
    </row>
    <row r="11" spans="2:6" ht="15.75" x14ac:dyDescent="0.25">
      <c r="B11" s="61" t="s">
        <v>100</v>
      </c>
      <c r="C11" s="62"/>
      <c r="D11" s="57"/>
    </row>
    <row r="12" spans="2:6" ht="15.75" x14ac:dyDescent="0.25">
      <c r="B12" s="63"/>
      <c r="C12" s="61" t="s">
        <v>98</v>
      </c>
      <c r="D12" s="57"/>
    </row>
    <row r="13" spans="2:6" ht="15.75" x14ac:dyDescent="0.25">
      <c r="B13" s="61" t="s">
        <v>101</v>
      </c>
      <c r="C13" s="61"/>
      <c r="D13" s="57"/>
    </row>
    <row r="14" spans="2:6" ht="15.75" x14ac:dyDescent="0.25">
      <c r="B14" s="61"/>
      <c r="C14" s="61" t="s">
        <v>103</v>
      </c>
      <c r="D14" s="57"/>
    </row>
    <row r="15" spans="2:6" ht="15.75" x14ac:dyDescent="0.25">
      <c r="B15" s="61"/>
      <c r="C15" s="61" t="s">
        <v>102</v>
      </c>
      <c r="D15" s="57"/>
    </row>
    <row r="16" spans="2:6" ht="15.75" x14ac:dyDescent="0.25">
      <c r="B16" s="61"/>
      <c r="C16" s="61" t="s">
        <v>115</v>
      </c>
      <c r="D16" s="3"/>
    </row>
  </sheetData>
  <mergeCells count="1">
    <mergeCell ref="E2:F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C86"/>
  <sheetViews>
    <sheetView zoomScale="75" zoomScaleNormal="75" workbookViewId="0">
      <pane ySplit="5" topLeftCell="A50" activePane="bottomLeft" state="frozen"/>
      <selection pane="bottomLeft" activeCell="AC60" sqref="AC60"/>
    </sheetView>
  </sheetViews>
  <sheetFormatPr defaultRowHeight="12.75" x14ac:dyDescent="0.2"/>
  <cols>
    <col min="1" max="1" width="1" style="151" customWidth="1"/>
    <col min="2" max="2" width="6.140625" style="152" customWidth="1"/>
    <col min="3" max="3" width="29.5703125" style="151" customWidth="1"/>
    <col min="4" max="4" width="6.7109375" style="152" customWidth="1"/>
    <col min="5" max="14" width="6.85546875" style="151" customWidth="1"/>
    <col min="15" max="16" width="2" style="151" customWidth="1"/>
    <col min="17" max="17" width="6" style="151" customWidth="1"/>
    <col min="18" max="18" width="25.5703125" style="151" customWidth="1"/>
    <col min="19" max="19" width="7" style="151" customWidth="1"/>
    <col min="20" max="22" width="6.85546875" style="151" customWidth="1"/>
    <col min="23" max="25" width="6.85546875" style="389" customWidth="1"/>
    <col min="26" max="26" width="6.85546875" style="151" customWidth="1"/>
    <col min="27" max="27" width="6.85546875" style="389" customWidth="1"/>
    <col min="28" max="28" width="7" style="151" bestFit="1" customWidth="1"/>
    <col min="29" max="16384" width="9.140625" style="151"/>
  </cols>
  <sheetData>
    <row r="1" spans="2:29" ht="6.75" customHeight="1" x14ac:dyDescent="0.2"/>
    <row r="2" spans="2:29" ht="127.5" customHeight="1" x14ac:dyDescent="0.3">
      <c r="C2" s="635" t="s">
        <v>362</v>
      </c>
      <c r="D2" s="636"/>
      <c r="E2" s="636"/>
      <c r="F2" s="636"/>
      <c r="G2" s="636"/>
      <c r="H2" s="636"/>
      <c r="I2" s="636"/>
      <c r="J2" s="636"/>
      <c r="K2" s="636"/>
      <c r="L2" s="636"/>
      <c r="M2" s="636"/>
      <c r="N2" s="636"/>
      <c r="O2" s="636"/>
      <c r="P2" s="636"/>
      <c r="Q2" s="636"/>
      <c r="R2" s="636"/>
      <c r="S2" s="636"/>
      <c r="T2" s="636"/>
      <c r="U2" s="636"/>
      <c r="V2" s="636"/>
      <c r="W2" s="636"/>
      <c r="X2" s="636"/>
      <c r="Y2" s="636"/>
      <c r="Z2" s="636"/>
      <c r="AA2" s="636"/>
    </row>
    <row r="3" spans="2:29" s="389" customFormat="1" ht="22.5" customHeight="1" thickBot="1" x14ac:dyDescent="0.25">
      <c r="B3" s="390"/>
      <c r="D3" s="390"/>
      <c r="E3" s="544"/>
      <c r="F3" s="544"/>
      <c r="G3" s="544"/>
      <c r="H3" s="544"/>
      <c r="I3" s="544"/>
      <c r="J3" s="544"/>
      <c r="K3" s="544"/>
      <c r="L3" s="544"/>
      <c r="M3" s="544"/>
      <c r="N3" s="544"/>
      <c r="O3" s="544"/>
      <c r="P3" s="544"/>
      <c r="Q3" s="544"/>
      <c r="R3" s="544"/>
      <c r="S3" s="544"/>
      <c r="T3" s="544"/>
      <c r="U3" s="544"/>
      <c r="V3" s="544"/>
      <c r="W3" s="544"/>
      <c r="X3" s="544"/>
      <c r="Y3" s="544"/>
      <c r="Z3" s="544"/>
      <c r="AA3" s="544"/>
      <c r="AB3" s="544"/>
    </row>
    <row r="4" spans="2:29" s="389" customFormat="1" ht="28.5" customHeight="1" thickBot="1" x14ac:dyDescent="0.3">
      <c r="B4" s="390"/>
      <c r="D4" s="390"/>
      <c r="E4" s="619" t="s">
        <v>349</v>
      </c>
      <c r="F4" s="637"/>
      <c r="G4" s="637"/>
      <c r="H4" s="637"/>
      <c r="I4" s="637"/>
      <c r="J4" s="637"/>
      <c r="K4" s="637"/>
      <c r="L4" s="637"/>
      <c r="M4" s="638" t="s">
        <v>346</v>
      </c>
      <c r="N4" s="639"/>
      <c r="O4" s="545"/>
      <c r="P4" s="545"/>
      <c r="Q4" s="366"/>
      <c r="R4" s="322"/>
      <c r="S4" s="366"/>
      <c r="T4" s="619" t="s">
        <v>349</v>
      </c>
      <c r="U4" s="637"/>
      <c r="V4" s="637"/>
      <c r="W4" s="637"/>
      <c r="X4" s="637"/>
      <c r="Y4" s="637"/>
      <c r="Z4" s="638" t="s">
        <v>346</v>
      </c>
      <c r="AA4" s="639"/>
      <c r="AB4" s="545"/>
    </row>
    <row r="5" spans="2:29" s="389" customFormat="1" ht="240" customHeight="1" thickBot="1" x14ac:dyDescent="0.3">
      <c r="B5" s="156" t="s">
        <v>5</v>
      </c>
      <c r="C5" s="396" t="s">
        <v>3</v>
      </c>
      <c r="D5" s="596" t="s">
        <v>154</v>
      </c>
      <c r="E5" s="77" t="s">
        <v>351</v>
      </c>
      <c r="F5" s="543" t="s">
        <v>352</v>
      </c>
      <c r="G5" s="579" t="s">
        <v>353</v>
      </c>
      <c r="H5" s="543" t="s">
        <v>350</v>
      </c>
      <c r="I5" s="579" t="s">
        <v>354</v>
      </c>
      <c r="J5" s="579" t="s">
        <v>355</v>
      </c>
      <c r="K5" s="595" t="s">
        <v>359</v>
      </c>
      <c r="L5" s="595" t="s">
        <v>360</v>
      </c>
      <c r="M5" s="572" t="s">
        <v>347</v>
      </c>
      <c r="N5" s="573" t="s">
        <v>348</v>
      </c>
      <c r="O5" s="546"/>
      <c r="P5" s="546"/>
      <c r="Q5" s="104" t="s">
        <v>5</v>
      </c>
      <c r="R5" s="105" t="s">
        <v>3</v>
      </c>
      <c r="S5" s="597" t="s">
        <v>138</v>
      </c>
      <c r="T5" s="77" t="s">
        <v>351</v>
      </c>
      <c r="U5" s="543" t="s">
        <v>352</v>
      </c>
      <c r="V5" s="586" t="s">
        <v>356</v>
      </c>
      <c r="W5" s="543" t="s">
        <v>350</v>
      </c>
      <c r="X5" s="586" t="s">
        <v>357</v>
      </c>
      <c r="Y5" s="586" t="s">
        <v>358</v>
      </c>
      <c r="Z5" s="572" t="s">
        <v>347</v>
      </c>
      <c r="AA5" s="573" t="s">
        <v>348</v>
      </c>
      <c r="AB5" s="546"/>
      <c r="AC5" s="398"/>
    </row>
    <row r="6" spans="2:29" s="389" customFormat="1" ht="15" x14ac:dyDescent="0.25">
      <c r="B6" s="164">
        <v>101</v>
      </c>
      <c r="C6" s="399" t="s">
        <v>8</v>
      </c>
      <c r="D6" s="303">
        <v>17.899999999999999</v>
      </c>
      <c r="E6" s="304"/>
      <c r="F6" s="302"/>
      <c r="G6" s="580"/>
      <c r="H6" s="302"/>
      <c r="I6" s="580"/>
      <c r="J6" s="580"/>
      <c r="K6" s="302"/>
      <c r="L6" s="305"/>
      <c r="M6" s="574"/>
      <c r="N6" s="575"/>
      <c r="O6" s="547"/>
      <c r="P6" s="547"/>
      <c r="Q6" s="82">
        <v>201</v>
      </c>
      <c r="R6" s="113" t="s">
        <v>16</v>
      </c>
      <c r="S6" s="88">
        <v>73.5</v>
      </c>
      <c r="T6" s="252"/>
      <c r="U6" s="251"/>
      <c r="V6" s="587"/>
      <c r="W6" s="251"/>
      <c r="X6" s="587"/>
      <c r="Y6" s="587"/>
      <c r="Z6" s="576"/>
      <c r="AA6" s="577"/>
      <c r="AB6" s="547"/>
    </row>
    <row r="7" spans="2:29" s="389" customFormat="1" ht="15" x14ac:dyDescent="0.25">
      <c r="B7" s="169">
        <v>102</v>
      </c>
      <c r="C7" s="401" t="s">
        <v>9</v>
      </c>
      <c r="D7" s="308">
        <v>57.6</v>
      </c>
      <c r="E7" s="402"/>
      <c r="F7" s="403"/>
      <c r="G7" s="581"/>
      <c r="H7" s="403"/>
      <c r="I7" s="581"/>
      <c r="J7" s="581"/>
      <c r="K7" s="403"/>
      <c r="L7" s="404"/>
      <c r="M7" s="564"/>
      <c r="N7" s="565"/>
      <c r="O7" s="547"/>
      <c r="P7" s="547"/>
      <c r="Q7" s="118">
        <v>202</v>
      </c>
      <c r="R7" s="119" t="s">
        <v>64</v>
      </c>
      <c r="S7" s="212">
        <v>45.2</v>
      </c>
      <c r="T7" s="125"/>
      <c r="U7" s="220"/>
      <c r="V7" s="588"/>
      <c r="W7" s="220">
        <v>2</v>
      </c>
      <c r="X7" s="588"/>
      <c r="Y7" s="588"/>
      <c r="Z7" s="555"/>
      <c r="AA7" s="556"/>
      <c r="AB7" s="547"/>
    </row>
    <row r="8" spans="2:29" s="389" customFormat="1" ht="15" x14ac:dyDescent="0.25">
      <c r="B8" s="169">
        <v>103</v>
      </c>
      <c r="C8" s="401" t="s">
        <v>10</v>
      </c>
      <c r="D8" s="308">
        <v>141.69999999999999</v>
      </c>
      <c r="E8" s="402"/>
      <c r="F8" s="403"/>
      <c r="G8" s="581"/>
      <c r="H8" s="403"/>
      <c r="I8" s="581"/>
      <c r="J8" s="581"/>
      <c r="K8" s="403">
        <v>4</v>
      </c>
      <c r="L8" s="404">
        <v>3</v>
      </c>
      <c r="M8" s="564"/>
      <c r="N8" s="565"/>
      <c r="O8" s="547"/>
      <c r="P8" s="547"/>
      <c r="Q8" s="118">
        <v>203</v>
      </c>
      <c r="R8" s="119" t="s">
        <v>64</v>
      </c>
      <c r="S8" s="212">
        <v>45.2</v>
      </c>
      <c r="T8" s="125"/>
      <c r="U8" s="220"/>
      <c r="V8" s="588"/>
      <c r="W8" s="220">
        <v>2</v>
      </c>
      <c r="X8" s="588"/>
      <c r="Y8" s="588"/>
      <c r="Z8" s="555"/>
      <c r="AA8" s="556"/>
      <c r="AB8" s="547"/>
    </row>
    <row r="9" spans="2:29" s="389" customFormat="1" ht="15" x14ac:dyDescent="0.25">
      <c r="B9" s="169">
        <v>104</v>
      </c>
      <c r="C9" s="401" t="s">
        <v>11</v>
      </c>
      <c r="D9" s="308">
        <v>33.4</v>
      </c>
      <c r="E9" s="402"/>
      <c r="F9" s="403"/>
      <c r="G9" s="581"/>
      <c r="H9" s="403"/>
      <c r="I9" s="581"/>
      <c r="J9" s="581"/>
      <c r="K9" s="403"/>
      <c r="L9" s="404"/>
      <c r="M9" s="564"/>
      <c r="N9" s="565"/>
      <c r="O9" s="547"/>
      <c r="P9" s="547"/>
      <c r="Q9" s="118">
        <v>204</v>
      </c>
      <c r="R9" s="119" t="s">
        <v>16</v>
      </c>
      <c r="S9" s="212">
        <v>37.299999999999997</v>
      </c>
      <c r="T9" s="125"/>
      <c r="U9" s="220"/>
      <c r="V9" s="588"/>
      <c r="W9" s="220"/>
      <c r="X9" s="588"/>
      <c r="Y9" s="588"/>
      <c r="Z9" s="555"/>
      <c r="AA9" s="556"/>
      <c r="AB9" s="547"/>
    </row>
    <row r="10" spans="2:29" s="389" customFormat="1" ht="15" x14ac:dyDescent="0.25">
      <c r="B10" s="169">
        <v>105</v>
      </c>
      <c r="C10" s="401" t="s">
        <v>12</v>
      </c>
      <c r="D10" s="308">
        <v>9.4</v>
      </c>
      <c r="E10" s="402"/>
      <c r="F10" s="403"/>
      <c r="G10" s="581"/>
      <c r="H10" s="403"/>
      <c r="I10" s="581"/>
      <c r="J10" s="581"/>
      <c r="K10" s="403"/>
      <c r="L10" s="404"/>
      <c r="M10" s="564"/>
      <c r="N10" s="565"/>
      <c r="O10" s="547"/>
      <c r="P10" s="547"/>
      <c r="Q10" s="118">
        <v>205</v>
      </c>
      <c r="R10" s="119" t="s">
        <v>65</v>
      </c>
      <c r="S10" s="212">
        <v>18.7</v>
      </c>
      <c r="T10" s="125"/>
      <c r="U10" s="220"/>
      <c r="V10" s="588"/>
      <c r="W10" s="220"/>
      <c r="X10" s="588"/>
      <c r="Y10" s="588"/>
      <c r="Z10" s="555"/>
      <c r="AA10" s="556"/>
      <c r="AB10" s="547"/>
    </row>
    <row r="11" spans="2:29" s="389" customFormat="1" ht="15" x14ac:dyDescent="0.25">
      <c r="B11" s="169">
        <v>106</v>
      </c>
      <c r="C11" s="401" t="s">
        <v>13</v>
      </c>
      <c r="D11" s="308">
        <v>3.6</v>
      </c>
      <c r="E11" s="402"/>
      <c r="F11" s="403"/>
      <c r="G11" s="581"/>
      <c r="H11" s="403"/>
      <c r="I11" s="581"/>
      <c r="J11" s="581"/>
      <c r="K11" s="403"/>
      <c r="L11" s="404"/>
      <c r="M11" s="564"/>
      <c r="N11" s="565"/>
      <c r="O11" s="547"/>
      <c r="P11" s="547"/>
      <c r="Q11" s="125">
        <v>206</v>
      </c>
      <c r="R11" s="126" t="s">
        <v>17</v>
      </c>
      <c r="S11" s="122">
        <v>4.9000000000000004</v>
      </c>
      <c r="T11" s="125"/>
      <c r="U11" s="220"/>
      <c r="V11" s="588"/>
      <c r="W11" s="220"/>
      <c r="X11" s="588"/>
      <c r="Y11" s="588"/>
      <c r="Z11" s="555"/>
      <c r="AA11" s="556"/>
      <c r="AB11" s="547"/>
    </row>
    <row r="12" spans="2:29" s="389" customFormat="1" ht="15" x14ac:dyDescent="0.25">
      <c r="B12" s="169">
        <v>107</v>
      </c>
      <c r="C12" s="401" t="s">
        <v>14</v>
      </c>
      <c r="D12" s="308">
        <v>13.1</v>
      </c>
      <c r="E12" s="402">
        <v>1</v>
      </c>
      <c r="F12" s="403"/>
      <c r="G12" s="581"/>
      <c r="H12" s="403"/>
      <c r="I12" s="581"/>
      <c r="J12" s="581"/>
      <c r="K12" s="403"/>
      <c r="L12" s="404"/>
      <c r="M12" s="564"/>
      <c r="N12" s="565"/>
      <c r="O12" s="547"/>
      <c r="P12" s="547"/>
      <c r="Q12" s="118">
        <v>207</v>
      </c>
      <c r="R12" s="119" t="s">
        <v>66</v>
      </c>
      <c r="S12" s="212">
        <v>22.3</v>
      </c>
      <c r="T12" s="125">
        <v>1</v>
      </c>
      <c r="U12" s="220"/>
      <c r="V12" s="588"/>
      <c r="W12" s="220"/>
      <c r="X12" s="588"/>
      <c r="Y12" s="588"/>
      <c r="Z12" s="555"/>
      <c r="AA12" s="556"/>
      <c r="AB12" s="547"/>
    </row>
    <row r="13" spans="2:29" s="389" customFormat="1" ht="15" x14ac:dyDescent="0.25">
      <c r="B13" s="169">
        <v>108</v>
      </c>
      <c r="C13" s="401" t="s">
        <v>15</v>
      </c>
      <c r="D13" s="308">
        <v>19.100000000000001</v>
      </c>
      <c r="E13" s="402">
        <v>1</v>
      </c>
      <c r="F13" s="403"/>
      <c r="G13" s="581"/>
      <c r="H13" s="403"/>
      <c r="I13" s="581"/>
      <c r="J13" s="581"/>
      <c r="K13" s="403"/>
      <c r="L13" s="404"/>
      <c r="M13" s="564"/>
      <c r="N13" s="565"/>
      <c r="O13" s="547"/>
      <c r="P13" s="547"/>
      <c r="Q13" s="118">
        <v>208</v>
      </c>
      <c r="R13" s="119" t="s">
        <v>67</v>
      </c>
      <c r="S13" s="212">
        <v>37.6</v>
      </c>
      <c r="T13" s="125">
        <v>2</v>
      </c>
      <c r="U13" s="220"/>
      <c r="V13" s="588"/>
      <c r="W13" s="220"/>
      <c r="X13" s="588"/>
      <c r="Y13" s="588"/>
      <c r="Z13" s="555"/>
      <c r="AA13" s="556"/>
      <c r="AB13" s="547"/>
    </row>
    <row r="14" spans="2:29" s="389" customFormat="1" ht="15" x14ac:dyDescent="0.25">
      <c r="B14" s="169">
        <v>109</v>
      </c>
      <c r="C14" s="401" t="s">
        <v>16</v>
      </c>
      <c r="D14" s="308">
        <v>43.7</v>
      </c>
      <c r="E14" s="402"/>
      <c r="F14" s="403"/>
      <c r="G14" s="581"/>
      <c r="H14" s="403"/>
      <c r="I14" s="581"/>
      <c r="J14" s="581"/>
      <c r="K14" s="403"/>
      <c r="L14" s="404"/>
      <c r="M14" s="564"/>
      <c r="N14" s="565"/>
      <c r="O14" s="547"/>
      <c r="P14" s="547"/>
      <c r="Q14" s="118">
        <v>209</v>
      </c>
      <c r="R14" s="119" t="s">
        <v>22</v>
      </c>
      <c r="S14" s="212">
        <v>12.7</v>
      </c>
      <c r="T14" s="125"/>
      <c r="U14" s="220"/>
      <c r="V14" s="588"/>
      <c r="W14" s="220"/>
      <c r="X14" s="588"/>
      <c r="Y14" s="588"/>
      <c r="Z14" s="555"/>
      <c r="AA14" s="556"/>
      <c r="AB14" s="547"/>
    </row>
    <row r="15" spans="2:29" s="389" customFormat="1" ht="15" x14ac:dyDescent="0.25">
      <c r="B15" s="169">
        <v>110</v>
      </c>
      <c r="C15" s="401" t="s">
        <v>17</v>
      </c>
      <c r="D15" s="308">
        <v>4.8</v>
      </c>
      <c r="E15" s="402"/>
      <c r="F15" s="403"/>
      <c r="G15" s="581"/>
      <c r="H15" s="403"/>
      <c r="I15" s="581"/>
      <c r="J15" s="581"/>
      <c r="K15" s="403"/>
      <c r="L15" s="404"/>
      <c r="M15" s="564"/>
      <c r="N15" s="565"/>
      <c r="O15" s="547"/>
      <c r="P15" s="547"/>
      <c r="Q15" s="118">
        <v>210</v>
      </c>
      <c r="R15" s="119" t="s">
        <v>23</v>
      </c>
      <c r="S15" s="212">
        <v>2.7</v>
      </c>
      <c r="T15" s="125"/>
      <c r="U15" s="220"/>
      <c r="V15" s="588"/>
      <c r="W15" s="220"/>
      <c r="X15" s="588"/>
      <c r="Y15" s="588"/>
      <c r="Z15" s="555"/>
      <c r="AA15" s="556"/>
      <c r="AB15" s="547"/>
    </row>
    <row r="16" spans="2:29" s="389" customFormat="1" ht="15" x14ac:dyDescent="0.25">
      <c r="B16" s="169">
        <v>111</v>
      </c>
      <c r="C16" s="401" t="s">
        <v>18</v>
      </c>
      <c r="D16" s="308">
        <v>5.8</v>
      </c>
      <c r="E16" s="402"/>
      <c r="F16" s="403"/>
      <c r="G16" s="581"/>
      <c r="H16" s="403"/>
      <c r="I16" s="581"/>
      <c r="J16" s="581"/>
      <c r="K16" s="403"/>
      <c r="L16" s="404"/>
      <c r="M16" s="564"/>
      <c r="N16" s="565"/>
      <c r="O16" s="547"/>
      <c r="P16" s="547"/>
      <c r="Q16" s="118">
        <v>211</v>
      </c>
      <c r="R16" s="119" t="s">
        <v>17</v>
      </c>
      <c r="S16" s="212">
        <v>2.5</v>
      </c>
      <c r="T16" s="428"/>
      <c r="U16" s="220"/>
      <c r="V16" s="588"/>
      <c r="W16" s="220"/>
      <c r="X16" s="588"/>
      <c r="Y16" s="588"/>
      <c r="Z16" s="555"/>
      <c r="AA16" s="556"/>
      <c r="AB16" s="547"/>
    </row>
    <row r="17" spans="2:28" s="389" customFormat="1" ht="15" x14ac:dyDescent="0.25">
      <c r="B17" s="169">
        <v>112</v>
      </c>
      <c r="C17" s="401" t="s">
        <v>19</v>
      </c>
      <c r="D17" s="308">
        <v>19.5</v>
      </c>
      <c r="E17" s="402">
        <v>1</v>
      </c>
      <c r="F17" s="403"/>
      <c r="G17" s="581"/>
      <c r="H17" s="403"/>
      <c r="I17" s="581"/>
      <c r="J17" s="581"/>
      <c r="K17" s="403"/>
      <c r="L17" s="404"/>
      <c r="M17" s="564"/>
      <c r="N17" s="565"/>
      <c r="O17" s="547"/>
      <c r="P17" s="547"/>
      <c r="Q17" s="118">
        <v>212</v>
      </c>
      <c r="R17" s="119" t="s">
        <v>24</v>
      </c>
      <c r="S17" s="212">
        <v>8.1</v>
      </c>
      <c r="T17" s="428"/>
      <c r="U17" s="429"/>
      <c r="V17" s="589"/>
      <c r="W17" s="429"/>
      <c r="X17" s="589"/>
      <c r="Y17" s="589"/>
      <c r="Z17" s="557"/>
      <c r="AA17" s="558"/>
      <c r="AB17" s="547"/>
    </row>
    <row r="18" spans="2:28" s="389" customFormat="1" ht="15" x14ac:dyDescent="0.25">
      <c r="B18" s="169">
        <v>113</v>
      </c>
      <c r="C18" s="401" t="s">
        <v>20</v>
      </c>
      <c r="D18" s="308">
        <v>6.3</v>
      </c>
      <c r="E18" s="402"/>
      <c r="F18" s="403"/>
      <c r="G18" s="581"/>
      <c r="H18" s="403"/>
      <c r="I18" s="581"/>
      <c r="J18" s="581"/>
      <c r="K18" s="403"/>
      <c r="L18" s="404"/>
      <c r="M18" s="564"/>
      <c r="N18" s="565"/>
      <c r="O18" s="547"/>
      <c r="P18" s="547"/>
      <c r="Q18" s="118">
        <v>213</v>
      </c>
      <c r="R18" s="119" t="s">
        <v>11</v>
      </c>
      <c r="S18" s="212">
        <v>24.1</v>
      </c>
      <c r="T18" s="125"/>
      <c r="U18" s="220"/>
      <c r="V18" s="588"/>
      <c r="W18" s="220"/>
      <c r="X18" s="588"/>
      <c r="Y18" s="588"/>
      <c r="Z18" s="555"/>
      <c r="AA18" s="556"/>
      <c r="AB18" s="547"/>
    </row>
    <row r="19" spans="2:28" s="389" customFormat="1" ht="15" x14ac:dyDescent="0.25">
      <c r="B19" s="169">
        <v>114</v>
      </c>
      <c r="C19" s="401" t="s">
        <v>21</v>
      </c>
      <c r="D19" s="308">
        <v>3.6</v>
      </c>
      <c r="E19" s="402"/>
      <c r="F19" s="403"/>
      <c r="G19" s="581"/>
      <c r="H19" s="403"/>
      <c r="I19" s="581"/>
      <c r="J19" s="581"/>
      <c r="K19" s="403"/>
      <c r="L19" s="404"/>
      <c r="M19" s="564"/>
      <c r="N19" s="565"/>
      <c r="O19" s="547"/>
      <c r="P19" s="547"/>
      <c r="Q19" s="118">
        <v>214</v>
      </c>
      <c r="R19" s="119" t="s">
        <v>68</v>
      </c>
      <c r="S19" s="212">
        <v>14.5</v>
      </c>
      <c r="T19" s="118"/>
      <c r="U19" s="121"/>
      <c r="V19" s="588"/>
      <c r="W19" s="121"/>
      <c r="X19" s="588"/>
      <c r="Y19" s="588"/>
      <c r="Z19" s="555">
        <v>1</v>
      </c>
      <c r="AA19" s="556"/>
      <c r="AB19" s="547"/>
    </row>
    <row r="20" spans="2:28" s="389" customFormat="1" ht="15" x14ac:dyDescent="0.25">
      <c r="B20" s="169">
        <v>115</v>
      </c>
      <c r="C20" s="401" t="s">
        <v>22</v>
      </c>
      <c r="D20" s="308">
        <v>12.7</v>
      </c>
      <c r="E20" s="402"/>
      <c r="F20" s="403"/>
      <c r="G20" s="581"/>
      <c r="H20" s="403"/>
      <c r="I20" s="581"/>
      <c r="J20" s="581"/>
      <c r="K20" s="403"/>
      <c r="L20" s="404"/>
      <c r="M20" s="564"/>
      <c r="N20" s="565"/>
      <c r="O20" s="547"/>
      <c r="P20" s="547"/>
      <c r="Q20" s="118">
        <v>215</v>
      </c>
      <c r="R20" s="119" t="s">
        <v>69</v>
      </c>
      <c r="S20" s="212">
        <v>48.5</v>
      </c>
      <c r="T20" s="118"/>
      <c r="U20" s="121"/>
      <c r="V20" s="588"/>
      <c r="W20" s="121"/>
      <c r="X20" s="588"/>
      <c r="Y20" s="588">
        <v>2</v>
      </c>
      <c r="Z20" s="555"/>
      <c r="AA20" s="556"/>
      <c r="AB20" s="547"/>
    </row>
    <row r="21" spans="2:28" s="389" customFormat="1" ht="15" x14ac:dyDescent="0.25">
      <c r="B21" s="169">
        <v>116</v>
      </c>
      <c r="C21" s="401" t="s">
        <v>23</v>
      </c>
      <c r="D21" s="308">
        <v>2.7</v>
      </c>
      <c r="E21" s="402"/>
      <c r="F21" s="403"/>
      <c r="G21" s="581"/>
      <c r="H21" s="403"/>
      <c r="I21" s="581"/>
      <c r="J21" s="581"/>
      <c r="K21" s="403"/>
      <c r="L21" s="404"/>
      <c r="M21" s="564"/>
      <c r="N21" s="565"/>
      <c r="O21" s="547"/>
      <c r="P21" s="547"/>
      <c r="Q21" s="118">
        <v>216</v>
      </c>
      <c r="R21" s="119" t="s">
        <v>70</v>
      </c>
      <c r="S21" s="212">
        <v>73.8</v>
      </c>
      <c r="T21" s="118"/>
      <c r="U21" s="121">
        <v>1</v>
      </c>
      <c r="V21" s="588">
        <v>2</v>
      </c>
      <c r="W21" s="121"/>
      <c r="X21" s="588"/>
      <c r="Y21" s="588"/>
      <c r="Z21" s="555">
        <v>1</v>
      </c>
      <c r="AA21" s="556"/>
      <c r="AB21" s="547"/>
    </row>
    <row r="22" spans="2:28" s="389" customFormat="1" ht="15" x14ac:dyDescent="0.25">
      <c r="B22" s="169">
        <v>117</v>
      </c>
      <c r="C22" s="401" t="s">
        <v>17</v>
      </c>
      <c r="D22" s="308">
        <v>2.5</v>
      </c>
      <c r="E22" s="402"/>
      <c r="F22" s="403"/>
      <c r="G22" s="581"/>
      <c r="H22" s="403"/>
      <c r="I22" s="581"/>
      <c r="J22" s="581"/>
      <c r="K22" s="403"/>
      <c r="L22" s="404"/>
      <c r="M22" s="564"/>
      <c r="N22" s="565"/>
      <c r="O22" s="547"/>
      <c r="P22" s="547"/>
      <c r="Q22" s="118">
        <v>217</v>
      </c>
      <c r="R22" s="119" t="s">
        <v>71</v>
      </c>
      <c r="S22" s="212">
        <v>22.7</v>
      </c>
      <c r="T22" s="118"/>
      <c r="U22" s="121"/>
      <c r="V22" s="588"/>
      <c r="W22" s="121"/>
      <c r="X22" s="588"/>
      <c r="Y22" s="588"/>
      <c r="Z22" s="555">
        <v>1</v>
      </c>
      <c r="AA22" s="556">
        <v>2</v>
      </c>
      <c r="AB22" s="547"/>
    </row>
    <row r="23" spans="2:28" s="389" customFormat="1" ht="15" x14ac:dyDescent="0.25">
      <c r="B23" s="169">
        <v>118</v>
      </c>
      <c r="C23" s="401" t="s">
        <v>24</v>
      </c>
      <c r="D23" s="308">
        <v>8.1</v>
      </c>
      <c r="E23" s="402"/>
      <c r="F23" s="403"/>
      <c r="G23" s="581"/>
      <c r="H23" s="403"/>
      <c r="I23" s="581"/>
      <c r="J23" s="581"/>
      <c r="K23" s="403"/>
      <c r="L23" s="404"/>
      <c r="M23" s="564"/>
      <c r="N23" s="565"/>
      <c r="O23" s="547"/>
      <c r="P23" s="547"/>
      <c r="Q23" s="118">
        <v>218</v>
      </c>
      <c r="R23" s="119" t="s">
        <v>72</v>
      </c>
      <c r="S23" s="212">
        <v>50</v>
      </c>
      <c r="T23" s="118"/>
      <c r="U23" s="121"/>
      <c r="V23" s="588"/>
      <c r="W23" s="121"/>
      <c r="X23" s="588"/>
      <c r="Y23" s="588">
        <v>2</v>
      </c>
      <c r="Z23" s="555"/>
      <c r="AA23" s="556"/>
      <c r="AB23" s="547"/>
    </row>
    <row r="24" spans="2:28" s="389" customFormat="1" ht="15" x14ac:dyDescent="0.25">
      <c r="B24" s="169">
        <v>119</v>
      </c>
      <c r="C24" s="401" t="s">
        <v>11</v>
      </c>
      <c r="D24" s="308">
        <v>24.5</v>
      </c>
      <c r="E24" s="402"/>
      <c r="F24" s="403"/>
      <c r="G24" s="581"/>
      <c r="H24" s="403"/>
      <c r="I24" s="581"/>
      <c r="J24" s="581"/>
      <c r="K24" s="403"/>
      <c r="L24" s="404"/>
      <c r="M24" s="564"/>
      <c r="N24" s="565"/>
      <c r="O24" s="547"/>
      <c r="P24" s="547"/>
      <c r="Q24" s="118">
        <v>219</v>
      </c>
      <c r="R24" s="119" t="s">
        <v>73</v>
      </c>
      <c r="S24" s="212">
        <v>73.8</v>
      </c>
      <c r="T24" s="118"/>
      <c r="U24" s="121"/>
      <c r="V24" s="588"/>
      <c r="W24" s="121">
        <v>2</v>
      </c>
      <c r="X24" s="588">
        <v>2</v>
      </c>
      <c r="Y24" s="588"/>
      <c r="Z24" s="555">
        <v>1</v>
      </c>
      <c r="AA24" s="556"/>
      <c r="AB24" s="547"/>
    </row>
    <row r="25" spans="2:28" s="389" customFormat="1" ht="15" x14ac:dyDescent="0.25">
      <c r="B25" s="169">
        <v>120</v>
      </c>
      <c r="C25" s="401" t="s">
        <v>25</v>
      </c>
      <c r="D25" s="308">
        <v>14.9</v>
      </c>
      <c r="E25" s="402"/>
      <c r="F25" s="403"/>
      <c r="G25" s="581"/>
      <c r="H25" s="403"/>
      <c r="I25" s="581"/>
      <c r="J25" s="581"/>
      <c r="K25" s="403"/>
      <c r="L25" s="404"/>
      <c r="M25" s="564">
        <v>1</v>
      </c>
      <c r="N25" s="565"/>
      <c r="O25" s="547"/>
      <c r="P25" s="547"/>
      <c r="Q25" s="118">
        <v>220</v>
      </c>
      <c r="R25" s="119" t="s">
        <v>74</v>
      </c>
      <c r="S25" s="212">
        <v>22.2</v>
      </c>
      <c r="T25" s="118"/>
      <c r="U25" s="121"/>
      <c r="V25" s="588"/>
      <c r="W25" s="121"/>
      <c r="X25" s="588"/>
      <c r="Y25" s="588"/>
      <c r="Z25" s="555">
        <v>1</v>
      </c>
      <c r="AA25" s="556">
        <v>2</v>
      </c>
      <c r="AB25" s="547"/>
    </row>
    <row r="26" spans="2:28" s="389" customFormat="1" ht="15" x14ac:dyDescent="0.25">
      <c r="B26" s="169">
        <v>121</v>
      </c>
      <c r="C26" s="401" t="s">
        <v>8</v>
      </c>
      <c r="D26" s="308">
        <v>10.7</v>
      </c>
      <c r="E26" s="402"/>
      <c r="F26" s="403"/>
      <c r="G26" s="581"/>
      <c r="H26" s="403"/>
      <c r="I26" s="581"/>
      <c r="J26" s="581"/>
      <c r="K26" s="403"/>
      <c r="L26" s="404"/>
      <c r="M26" s="564"/>
      <c r="N26" s="565"/>
      <c r="O26" s="547"/>
      <c r="P26" s="547"/>
      <c r="Q26" s="118">
        <v>221</v>
      </c>
      <c r="R26" s="119" t="s">
        <v>75</v>
      </c>
      <c r="S26" s="212">
        <v>33.200000000000003</v>
      </c>
      <c r="T26" s="118"/>
      <c r="U26" s="121"/>
      <c r="V26" s="588"/>
      <c r="W26" s="121"/>
      <c r="X26" s="588"/>
      <c r="Y26" s="588"/>
      <c r="Z26" s="555">
        <v>2</v>
      </c>
      <c r="AA26" s="556"/>
      <c r="AB26" s="547"/>
    </row>
    <row r="27" spans="2:28" s="389" customFormat="1" ht="15" x14ac:dyDescent="0.25">
      <c r="B27" s="169">
        <v>122</v>
      </c>
      <c r="C27" s="401" t="s">
        <v>26</v>
      </c>
      <c r="D27" s="308">
        <v>48.5</v>
      </c>
      <c r="E27" s="402"/>
      <c r="F27" s="403"/>
      <c r="G27" s="581"/>
      <c r="H27" s="403"/>
      <c r="I27" s="581"/>
      <c r="J27" s="581">
        <v>2</v>
      </c>
      <c r="K27" s="403"/>
      <c r="L27" s="404"/>
      <c r="M27" s="564"/>
      <c r="N27" s="565"/>
      <c r="O27" s="547"/>
      <c r="P27" s="547"/>
      <c r="Q27" s="118">
        <v>222</v>
      </c>
      <c r="R27" s="119" t="s">
        <v>76</v>
      </c>
      <c r="S27" s="212">
        <v>21.9</v>
      </c>
      <c r="T27" s="118"/>
      <c r="U27" s="121"/>
      <c r="V27" s="588"/>
      <c r="W27" s="121"/>
      <c r="X27" s="588"/>
      <c r="Y27" s="588"/>
      <c r="Z27" s="555">
        <v>1</v>
      </c>
      <c r="AA27" s="556">
        <v>2</v>
      </c>
      <c r="AB27" s="547"/>
    </row>
    <row r="28" spans="2:28" s="389" customFormat="1" ht="15" x14ac:dyDescent="0.25">
      <c r="B28" s="169">
        <v>123</v>
      </c>
      <c r="C28" s="401" t="s">
        <v>27</v>
      </c>
      <c r="D28" s="308">
        <v>73.8</v>
      </c>
      <c r="E28" s="402"/>
      <c r="F28" s="403">
        <v>1</v>
      </c>
      <c r="G28" s="581">
        <v>2</v>
      </c>
      <c r="H28" s="403"/>
      <c r="I28" s="581"/>
      <c r="J28" s="581"/>
      <c r="K28" s="403"/>
      <c r="L28" s="404"/>
      <c r="M28" s="564">
        <v>1</v>
      </c>
      <c r="N28" s="565"/>
      <c r="O28" s="547"/>
      <c r="P28" s="547"/>
      <c r="Q28" s="118">
        <v>223</v>
      </c>
      <c r="R28" s="119" t="s">
        <v>78</v>
      </c>
      <c r="S28" s="212">
        <v>73.8</v>
      </c>
      <c r="T28" s="118"/>
      <c r="U28" s="121"/>
      <c r="V28" s="588"/>
      <c r="W28" s="121">
        <v>2</v>
      </c>
      <c r="X28" s="588">
        <v>2</v>
      </c>
      <c r="Y28" s="588"/>
      <c r="Z28" s="555">
        <v>1</v>
      </c>
      <c r="AA28" s="556"/>
      <c r="AB28" s="547"/>
    </row>
    <row r="29" spans="2:28" ht="15" x14ac:dyDescent="0.25">
      <c r="B29" s="169">
        <v>124</v>
      </c>
      <c r="C29" s="401" t="s">
        <v>28</v>
      </c>
      <c r="D29" s="308">
        <v>22.8</v>
      </c>
      <c r="E29" s="402"/>
      <c r="F29" s="403"/>
      <c r="G29" s="581"/>
      <c r="H29" s="403"/>
      <c r="I29" s="581"/>
      <c r="J29" s="581"/>
      <c r="K29" s="403"/>
      <c r="L29" s="404"/>
      <c r="M29" s="564">
        <v>1</v>
      </c>
      <c r="N29" s="565">
        <v>2</v>
      </c>
      <c r="O29" s="547"/>
      <c r="P29" s="547"/>
      <c r="Q29" s="118">
        <v>224</v>
      </c>
      <c r="R29" s="119" t="s">
        <v>77</v>
      </c>
      <c r="S29" s="212">
        <v>59.4</v>
      </c>
      <c r="T29" s="118"/>
      <c r="U29" s="121"/>
      <c r="V29" s="588"/>
      <c r="W29" s="121"/>
      <c r="X29" s="588"/>
      <c r="Y29" s="588">
        <v>2</v>
      </c>
      <c r="Z29" s="555"/>
      <c r="AA29" s="556"/>
      <c r="AB29" s="547"/>
    </row>
    <row r="30" spans="2:28" ht="15" x14ac:dyDescent="0.25">
      <c r="B30" s="406">
        <v>125</v>
      </c>
      <c r="C30" s="407" t="s">
        <v>8</v>
      </c>
      <c r="D30" s="408">
        <v>10.7</v>
      </c>
      <c r="E30" s="309"/>
      <c r="F30" s="307"/>
      <c r="G30" s="582"/>
      <c r="H30" s="307"/>
      <c r="I30" s="582"/>
      <c r="J30" s="582"/>
      <c r="K30" s="307"/>
      <c r="L30" s="310"/>
      <c r="M30" s="566"/>
      <c r="N30" s="567"/>
      <c r="O30" s="547"/>
      <c r="P30" s="547"/>
      <c r="Q30" s="118">
        <v>225</v>
      </c>
      <c r="R30" s="119" t="s">
        <v>79</v>
      </c>
      <c r="S30" s="212">
        <v>59.4</v>
      </c>
      <c r="T30" s="118"/>
      <c r="U30" s="121"/>
      <c r="V30" s="588"/>
      <c r="W30" s="121"/>
      <c r="X30" s="588"/>
      <c r="Y30" s="588">
        <v>2</v>
      </c>
      <c r="Z30" s="555"/>
      <c r="AA30" s="556"/>
      <c r="AB30" s="547"/>
    </row>
    <row r="31" spans="2:28" ht="15" x14ac:dyDescent="0.25">
      <c r="B31" s="169">
        <v>126</v>
      </c>
      <c r="C31" s="401" t="s">
        <v>29</v>
      </c>
      <c r="D31" s="308">
        <v>50</v>
      </c>
      <c r="E31" s="309"/>
      <c r="F31" s="307"/>
      <c r="G31" s="582"/>
      <c r="H31" s="307"/>
      <c r="I31" s="582"/>
      <c r="J31" s="582">
        <v>2</v>
      </c>
      <c r="K31" s="307"/>
      <c r="L31" s="310"/>
      <c r="M31" s="566"/>
      <c r="N31" s="567"/>
      <c r="O31" s="547"/>
      <c r="P31" s="547"/>
      <c r="Q31" s="118">
        <v>226</v>
      </c>
      <c r="R31" s="119" t="s">
        <v>80</v>
      </c>
      <c r="S31" s="212">
        <v>73.8</v>
      </c>
      <c r="T31" s="118"/>
      <c r="U31" s="121"/>
      <c r="V31" s="588"/>
      <c r="W31" s="121">
        <v>2</v>
      </c>
      <c r="X31" s="588">
        <v>2</v>
      </c>
      <c r="Y31" s="588"/>
      <c r="Z31" s="555">
        <v>1</v>
      </c>
      <c r="AA31" s="556"/>
      <c r="AB31" s="547"/>
    </row>
    <row r="32" spans="2:28" s="311" customFormat="1" ht="15" x14ac:dyDescent="0.25">
      <c r="B32" s="169">
        <v>127</v>
      </c>
      <c r="C32" s="401" t="s">
        <v>30</v>
      </c>
      <c r="D32" s="308">
        <v>73.8</v>
      </c>
      <c r="E32" s="309"/>
      <c r="F32" s="307"/>
      <c r="G32" s="582"/>
      <c r="H32" s="307">
        <v>2</v>
      </c>
      <c r="I32" s="582">
        <v>2</v>
      </c>
      <c r="J32" s="582"/>
      <c r="K32" s="307"/>
      <c r="L32" s="310"/>
      <c r="M32" s="566">
        <v>1</v>
      </c>
      <c r="N32" s="567"/>
      <c r="O32" s="547"/>
      <c r="P32" s="547"/>
      <c r="Q32" s="118">
        <v>227</v>
      </c>
      <c r="R32" s="119" t="s">
        <v>81</v>
      </c>
      <c r="S32" s="212">
        <v>21.9</v>
      </c>
      <c r="T32" s="118"/>
      <c r="U32" s="121"/>
      <c r="V32" s="588"/>
      <c r="W32" s="121"/>
      <c r="X32" s="588"/>
      <c r="Y32" s="588"/>
      <c r="Z32" s="555">
        <v>1</v>
      </c>
      <c r="AA32" s="556">
        <v>2</v>
      </c>
      <c r="AB32" s="547"/>
    </row>
    <row r="33" spans="2:28" s="311" customFormat="1" ht="15" x14ac:dyDescent="0.25">
      <c r="B33" s="169">
        <v>128</v>
      </c>
      <c r="C33" s="401" t="s">
        <v>31</v>
      </c>
      <c r="D33" s="308">
        <v>17.7</v>
      </c>
      <c r="E33" s="309"/>
      <c r="F33" s="307"/>
      <c r="G33" s="582"/>
      <c r="H33" s="307"/>
      <c r="I33" s="582"/>
      <c r="J33" s="582"/>
      <c r="K33" s="307"/>
      <c r="L33" s="310"/>
      <c r="M33" s="566">
        <v>1</v>
      </c>
      <c r="N33" s="567">
        <v>3</v>
      </c>
      <c r="O33" s="547"/>
      <c r="P33" s="547"/>
      <c r="Q33" s="118">
        <v>228</v>
      </c>
      <c r="R33" s="119" t="s">
        <v>82</v>
      </c>
      <c r="S33" s="212">
        <v>33.200000000000003</v>
      </c>
      <c r="T33" s="118"/>
      <c r="U33" s="121"/>
      <c r="V33" s="588"/>
      <c r="W33" s="121"/>
      <c r="X33" s="588"/>
      <c r="Y33" s="588"/>
      <c r="Z33" s="555">
        <v>2</v>
      </c>
      <c r="AA33" s="556"/>
      <c r="AB33" s="547"/>
    </row>
    <row r="34" spans="2:28" ht="15" x14ac:dyDescent="0.25">
      <c r="B34" s="169">
        <v>129</v>
      </c>
      <c r="C34" s="401" t="s">
        <v>32</v>
      </c>
      <c r="D34" s="308">
        <v>4.0999999999999996</v>
      </c>
      <c r="E34" s="309"/>
      <c r="F34" s="307"/>
      <c r="G34" s="582"/>
      <c r="H34" s="307"/>
      <c r="I34" s="582"/>
      <c r="J34" s="582"/>
      <c r="K34" s="307"/>
      <c r="L34" s="310"/>
      <c r="M34" s="566">
        <v>1</v>
      </c>
      <c r="N34" s="567">
        <v>1</v>
      </c>
      <c r="O34" s="547"/>
      <c r="P34" s="547"/>
      <c r="Q34" s="118">
        <v>229</v>
      </c>
      <c r="R34" s="119" t="s">
        <v>83</v>
      </c>
      <c r="S34" s="212">
        <v>22.2</v>
      </c>
      <c r="T34" s="118"/>
      <c r="U34" s="121"/>
      <c r="V34" s="588"/>
      <c r="W34" s="121"/>
      <c r="X34" s="588"/>
      <c r="Y34" s="588"/>
      <c r="Z34" s="555">
        <v>1</v>
      </c>
      <c r="AA34" s="556">
        <v>2</v>
      </c>
      <c r="AB34" s="547"/>
    </row>
    <row r="35" spans="2:28" ht="15" x14ac:dyDescent="0.25">
      <c r="B35" s="169">
        <v>130</v>
      </c>
      <c r="C35" s="401" t="s">
        <v>33</v>
      </c>
      <c r="D35" s="308">
        <v>31.9</v>
      </c>
      <c r="E35" s="309"/>
      <c r="F35" s="307"/>
      <c r="G35" s="582"/>
      <c r="H35" s="307"/>
      <c r="I35" s="582"/>
      <c r="J35" s="582"/>
      <c r="K35" s="307"/>
      <c r="L35" s="310"/>
      <c r="M35" s="566">
        <v>2</v>
      </c>
      <c r="N35" s="567"/>
      <c r="O35" s="547"/>
      <c r="P35" s="547"/>
      <c r="Q35" s="118">
        <v>230</v>
      </c>
      <c r="R35" s="119" t="s">
        <v>84</v>
      </c>
      <c r="S35" s="212">
        <v>73.8</v>
      </c>
      <c r="T35" s="118"/>
      <c r="U35" s="121"/>
      <c r="V35" s="588"/>
      <c r="W35" s="121">
        <v>2</v>
      </c>
      <c r="X35" s="588">
        <v>2</v>
      </c>
      <c r="Y35" s="588"/>
      <c r="Z35" s="555">
        <v>1</v>
      </c>
      <c r="AA35" s="556"/>
      <c r="AB35" s="547"/>
    </row>
    <row r="36" spans="2:28" ht="15" x14ac:dyDescent="0.25">
      <c r="B36" s="169">
        <v>131</v>
      </c>
      <c r="C36" s="401" t="s">
        <v>17</v>
      </c>
      <c r="D36" s="308">
        <v>1.3</v>
      </c>
      <c r="E36" s="309"/>
      <c r="F36" s="307"/>
      <c r="G36" s="582"/>
      <c r="H36" s="307"/>
      <c r="I36" s="582"/>
      <c r="J36" s="582"/>
      <c r="K36" s="307"/>
      <c r="L36" s="310"/>
      <c r="M36" s="566">
        <v>1</v>
      </c>
      <c r="N36" s="567"/>
      <c r="O36" s="547"/>
      <c r="P36" s="547"/>
      <c r="Q36" s="118">
        <v>231</v>
      </c>
      <c r="R36" s="119" t="s">
        <v>85</v>
      </c>
      <c r="S36" s="212">
        <v>50</v>
      </c>
      <c r="T36" s="118"/>
      <c r="U36" s="121"/>
      <c r="V36" s="588"/>
      <c r="W36" s="121"/>
      <c r="X36" s="588"/>
      <c r="Y36" s="588">
        <v>2</v>
      </c>
      <c r="Z36" s="555"/>
      <c r="AA36" s="556"/>
      <c r="AB36" s="547"/>
    </row>
    <row r="37" spans="2:28" ht="15" x14ac:dyDescent="0.25">
      <c r="B37" s="169">
        <v>132</v>
      </c>
      <c r="C37" s="401" t="s">
        <v>34</v>
      </c>
      <c r="D37" s="308">
        <v>4.2</v>
      </c>
      <c r="E37" s="309"/>
      <c r="F37" s="307"/>
      <c r="G37" s="582"/>
      <c r="H37" s="307"/>
      <c r="I37" s="582"/>
      <c r="J37" s="582"/>
      <c r="K37" s="307"/>
      <c r="L37" s="310"/>
      <c r="M37" s="566">
        <v>1</v>
      </c>
      <c r="N37" s="567">
        <v>1</v>
      </c>
      <c r="O37" s="547"/>
      <c r="P37" s="547"/>
      <c r="Q37" s="118">
        <v>232</v>
      </c>
      <c r="R37" s="119" t="s">
        <v>86</v>
      </c>
      <c r="S37" s="212">
        <v>22.7</v>
      </c>
      <c r="T37" s="118"/>
      <c r="U37" s="121"/>
      <c r="V37" s="588"/>
      <c r="W37" s="121"/>
      <c r="X37" s="588"/>
      <c r="Y37" s="588"/>
      <c r="Z37" s="555">
        <v>1</v>
      </c>
      <c r="AA37" s="556">
        <v>2</v>
      </c>
      <c r="AB37" s="547"/>
    </row>
    <row r="38" spans="2:28" ht="15" x14ac:dyDescent="0.25">
      <c r="B38" s="169">
        <v>133</v>
      </c>
      <c r="C38" s="401" t="s">
        <v>35</v>
      </c>
      <c r="D38" s="308">
        <v>17.3</v>
      </c>
      <c r="E38" s="309"/>
      <c r="F38" s="307"/>
      <c r="G38" s="582"/>
      <c r="H38" s="307"/>
      <c r="I38" s="582"/>
      <c r="J38" s="582"/>
      <c r="K38" s="307"/>
      <c r="L38" s="310"/>
      <c r="M38" s="566">
        <v>1</v>
      </c>
      <c r="N38" s="567">
        <v>3</v>
      </c>
      <c r="O38" s="547"/>
      <c r="P38" s="547"/>
      <c r="Q38" s="118">
        <v>233</v>
      </c>
      <c r="R38" s="119" t="s">
        <v>87</v>
      </c>
      <c r="S38" s="212">
        <v>73.8</v>
      </c>
      <c r="T38" s="118"/>
      <c r="U38" s="121">
        <v>1</v>
      </c>
      <c r="V38" s="588">
        <v>2</v>
      </c>
      <c r="W38" s="121"/>
      <c r="X38" s="588"/>
      <c r="Y38" s="588"/>
      <c r="Z38" s="555">
        <v>1</v>
      </c>
      <c r="AA38" s="556"/>
      <c r="AB38" s="547"/>
    </row>
    <row r="39" spans="2:28" ht="15" x14ac:dyDescent="0.25">
      <c r="B39" s="169">
        <v>134</v>
      </c>
      <c r="C39" s="401" t="s">
        <v>37</v>
      </c>
      <c r="D39" s="308">
        <v>73.8</v>
      </c>
      <c r="E39" s="309"/>
      <c r="F39" s="307"/>
      <c r="G39" s="582"/>
      <c r="H39" s="307">
        <v>2</v>
      </c>
      <c r="I39" s="582">
        <v>2</v>
      </c>
      <c r="J39" s="582"/>
      <c r="K39" s="307"/>
      <c r="L39" s="310"/>
      <c r="M39" s="566">
        <v>1</v>
      </c>
      <c r="N39" s="567"/>
      <c r="O39" s="547"/>
      <c r="P39" s="547"/>
      <c r="Q39" s="118">
        <v>234</v>
      </c>
      <c r="R39" s="119" t="s">
        <v>88</v>
      </c>
      <c r="S39" s="212">
        <v>48.5</v>
      </c>
      <c r="T39" s="118"/>
      <c r="U39" s="121"/>
      <c r="V39" s="588"/>
      <c r="W39" s="121"/>
      <c r="X39" s="588"/>
      <c r="Y39" s="588">
        <v>2</v>
      </c>
      <c r="Z39" s="555"/>
      <c r="AA39" s="556"/>
      <c r="AB39" s="547"/>
    </row>
    <row r="40" spans="2:28" ht="15" x14ac:dyDescent="0.25">
      <c r="B40" s="169">
        <v>135</v>
      </c>
      <c r="C40" s="401" t="s">
        <v>36</v>
      </c>
      <c r="D40" s="308">
        <v>49.5</v>
      </c>
      <c r="E40" s="309"/>
      <c r="F40" s="307"/>
      <c r="G40" s="582"/>
      <c r="H40" s="307"/>
      <c r="I40" s="582"/>
      <c r="J40" s="582">
        <v>2</v>
      </c>
      <c r="K40" s="307"/>
      <c r="L40" s="310"/>
      <c r="M40" s="566"/>
      <c r="N40" s="567"/>
      <c r="O40" s="547"/>
      <c r="P40" s="547"/>
      <c r="Q40" s="118">
        <v>235</v>
      </c>
      <c r="R40" s="119" t="s">
        <v>89</v>
      </c>
      <c r="S40" s="212">
        <v>14.6</v>
      </c>
      <c r="T40" s="125"/>
      <c r="U40" s="220"/>
      <c r="V40" s="588"/>
      <c r="W40" s="220"/>
      <c r="X40" s="588"/>
      <c r="Y40" s="588"/>
      <c r="Z40" s="555">
        <v>1</v>
      </c>
      <c r="AA40" s="556"/>
      <c r="AB40" s="547"/>
    </row>
    <row r="41" spans="2:28" ht="15" x14ac:dyDescent="0.25">
      <c r="B41" s="169">
        <v>136</v>
      </c>
      <c r="C41" s="401" t="s">
        <v>36</v>
      </c>
      <c r="D41" s="308">
        <v>49.5</v>
      </c>
      <c r="E41" s="309"/>
      <c r="F41" s="307"/>
      <c r="G41" s="582"/>
      <c r="H41" s="307"/>
      <c r="I41" s="582"/>
      <c r="J41" s="582">
        <v>2</v>
      </c>
      <c r="K41" s="307"/>
      <c r="L41" s="310"/>
      <c r="M41" s="566"/>
      <c r="N41" s="567"/>
      <c r="O41" s="547"/>
      <c r="P41" s="547"/>
      <c r="Q41" s="118">
        <v>236</v>
      </c>
      <c r="R41" s="119" t="s">
        <v>11</v>
      </c>
      <c r="S41" s="212">
        <v>25.2</v>
      </c>
      <c r="T41" s="118"/>
      <c r="U41" s="121"/>
      <c r="V41" s="588"/>
      <c r="W41" s="121"/>
      <c r="X41" s="588"/>
      <c r="Y41" s="588"/>
      <c r="Z41" s="555"/>
      <c r="AA41" s="556"/>
      <c r="AB41" s="547"/>
    </row>
    <row r="42" spans="2:28" ht="15" x14ac:dyDescent="0.25">
      <c r="B42" s="169">
        <v>137</v>
      </c>
      <c r="C42" s="401" t="s">
        <v>39</v>
      </c>
      <c r="D42" s="308">
        <v>73.8</v>
      </c>
      <c r="E42" s="309"/>
      <c r="F42" s="307"/>
      <c r="G42" s="582"/>
      <c r="H42" s="307">
        <v>2</v>
      </c>
      <c r="I42" s="582">
        <v>2</v>
      </c>
      <c r="J42" s="582"/>
      <c r="K42" s="307"/>
      <c r="L42" s="310"/>
      <c r="M42" s="566">
        <v>1</v>
      </c>
      <c r="N42" s="567"/>
      <c r="O42" s="547"/>
      <c r="P42" s="547"/>
      <c r="Q42" s="118">
        <v>237</v>
      </c>
      <c r="R42" s="119" t="s">
        <v>90</v>
      </c>
      <c r="S42" s="212">
        <v>23.8</v>
      </c>
      <c r="T42" s="118">
        <v>1</v>
      </c>
      <c r="U42" s="121"/>
      <c r="V42" s="588"/>
      <c r="W42" s="121"/>
      <c r="X42" s="588"/>
      <c r="Y42" s="588"/>
      <c r="Z42" s="555"/>
      <c r="AA42" s="556"/>
      <c r="AB42" s="547"/>
    </row>
    <row r="43" spans="2:28" ht="15" x14ac:dyDescent="0.25">
      <c r="B43" s="169">
        <v>138</v>
      </c>
      <c r="C43" s="401" t="s">
        <v>40</v>
      </c>
      <c r="D43" s="308">
        <v>17.3</v>
      </c>
      <c r="E43" s="309"/>
      <c r="F43" s="307"/>
      <c r="G43" s="582"/>
      <c r="H43" s="307"/>
      <c r="I43" s="582"/>
      <c r="J43" s="582"/>
      <c r="K43" s="307"/>
      <c r="L43" s="310"/>
      <c r="M43" s="566">
        <v>1</v>
      </c>
      <c r="N43" s="567">
        <v>3</v>
      </c>
      <c r="O43" s="547"/>
      <c r="P43" s="547"/>
      <c r="Q43" s="118">
        <v>238</v>
      </c>
      <c r="R43" s="119" t="s">
        <v>91</v>
      </c>
      <c r="S43" s="212">
        <v>22.2</v>
      </c>
      <c r="T43" s="118">
        <v>1</v>
      </c>
      <c r="U43" s="121"/>
      <c r="V43" s="588"/>
      <c r="W43" s="121"/>
      <c r="X43" s="588"/>
      <c r="Y43" s="588"/>
      <c r="Z43" s="555"/>
      <c r="AA43" s="556"/>
      <c r="AB43" s="547"/>
    </row>
    <row r="44" spans="2:28" ht="15" x14ac:dyDescent="0.25">
      <c r="B44" s="169">
        <v>139</v>
      </c>
      <c r="C44" s="401" t="s">
        <v>41</v>
      </c>
      <c r="D44" s="308">
        <v>4.2</v>
      </c>
      <c r="E44" s="309"/>
      <c r="F44" s="307"/>
      <c r="G44" s="582"/>
      <c r="H44" s="307"/>
      <c r="I44" s="582"/>
      <c r="J44" s="582"/>
      <c r="K44" s="307"/>
      <c r="L44" s="310"/>
      <c r="M44" s="566">
        <v>1</v>
      </c>
      <c r="N44" s="567">
        <v>1</v>
      </c>
      <c r="O44" s="547"/>
      <c r="P44" s="547"/>
      <c r="Q44" s="118">
        <v>239</v>
      </c>
      <c r="R44" s="119" t="s">
        <v>17</v>
      </c>
      <c r="S44" s="212">
        <v>5.0999999999999996</v>
      </c>
      <c r="T44" s="118"/>
      <c r="U44" s="121"/>
      <c r="V44" s="588"/>
      <c r="W44" s="121"/>
      <c r="X44" s="588"/>
      <c r="Y44" s="588"/>
      <c r="Z44" s="555"/>
      <c r="AA44" s="556"/>
      <c r="AB44" s="547"/>
    </row>
    <row r="45" spans="2:28" ht="15" x14ac:dyDescent="0.25">
      <c r="B45" s="169">
        <v>140</v>
      </c>
      <c r="C45" s="401" t="s">
        <v>42</v>
      </c>
      <c r="D45" s="308">
        <v>31.9</v>
      </c>
      <c r="E45" s="309"/>
      <c r="F45" s="307"/>
      <c r="G45" s="582"/>
      <c r="H45" s="307"/>
      <c r="I45" s="582"/>
      <c r="J45" s="582"/>
      <c r="K45" s="307"/>
      <c r="L45" s="310"/>
      <c r="M45" s="566">
        <v>2</v>
      </c>
      <c r="N45" s="567"/>
      <c r="O45" s="547"/>
      <c r="P45" s="547"/>
      <c r="Q45" s="118">
        <v>240</v>
      </c>
      <c r="R45" s="119" t="s">
        <v>16</v>
      </c>
      <c r="S45" s="212">
        <v>37.299999999999997</v>
      </c>
      <c r="T45" s="118"/>
      <c r="U45" s="121"/>
      <c r="V45" s="588"/>
      <c r="W45" s="121"/>
      <c r="X45" s="588"/>
      <c r="Y45" s="588"/>
      <c r="Z45" s="555"/>
      <c r="AA45" s="556"/>
      <c r="AB45" s="547"/>
    </row>
    <row r="46" spans="2:28" ht="15" x14ac:dyDescent="0.25">
      <c r="B46" s="169">
        <v>141</v>
      </c>
      <c r="C46" s="401" t="s">
        <v>17</v>
      </c>
      <c r="D46" s="308">
        <v>1.3</v>
      </c>
      <c r="E46" s="309"/>
      <c r="F46" s="307"/>
      <c r="G46" s="582"/>
      <c r="H46" s="307"/>
      <c r="I46" s="582"/>
      <c r="J46" s="582"/>
      <c r="K46" s="307"/>
      <c r="L46" s="310"/>
      <c r="M46" s="566">
        <v>1</v>
      </c>
      <c r="N46" s="567"/>
      <c r="O46" s="547"/>
      <c r="P46" s="547"/>
      <c r="Q46" s="118">
        <v>241</v>
      </c>
      <c r="R46" s="119" t="s">
        <v>92</v>
      </c>
      <c r="S46" s="212">
        <v>18.3</v>
      </c>
      <c r="T46" s="118"/>
      <c r="U46" s="121"/>
      <c r="V46" s="588"/>
      <c r="W46" s="121"/>
      <c r="X46" s="588"/>
      <c r="Y46" s="588"/>
      <c r="Z46" s="555"/>
      <c r="AA46" s="556"/>
      <c r="AB46" s="547"/>
    </row>
    <row r="47" spans="2:28" ht="15" x14ac:dyDescent="0.25">
      <c r="B47" s="169">
        <v>142</v>
      </c>
      <c r="C47" s="401" t="s">
        <v>43</v>
      </c>
      <c r="D47" s="308">
        <v>4.0999999999999996</v>
      </c>
      <c r="E47" s="309"/>
      <c r="F47" s="307"/>
      <c r="G47" s="582"/>
      <c r="H47" s="307"/>
      <c r="I47" s="582"/>
      <c r="J47" s="582"/>
      <c r="K47" s="307"/>
      <c r="L47" s="310"/>
      <c r="M47" s="566">
        <v>1</v>
      </c>
      <c r="N47" s="567">
        <v>1</v>
      </c>
      <c r="O47" s="547"/>
      <c r="P47" s="547"/>
      <c r="Q47" s="118">
        <v>242</v>
      </c>
      <c r="R47" s="119" t="s">
        <v>65</v>
      </c>
      <c r="S47" s="212">
        <v>24.9</v>
      </c>
      <c r="T47" s="118"/>
      <c r="U47" s="121"/>
      <c r="V47" s="588"/>
      <c r="W47" s="121"/>
      <c r="X47" s="588"/>
      <c r="Y47" s="588"/>
      <c r="Z47" s="555"/>
      <c r="AA47" s="556"/>
      <c r="AB47" s="547"/>
    </row>
    <row r="48" spans="2:28" ht="15" x14ac:dyDescent="0.25">
      <c r="B48" s="169">
        <v>143</v>
      </c>
      <c r="C48" s="401" t="s">
        <v>44</v>
      </c>
      <c r="D48" s="308">
        <v>17.7</v>
      </c>
      <c r="E48" s="309"/>
      <c r="F48" s="307"/>
      <c r="G48" s="582"/>
      <c r="H48" s="307"/>
      <c r="I48" s="582"/>
      <c r="J48" s="582"/>
      <c r="K48" s="307"/>
      <c r="L48" s="310"/>
      <c r="M48" s="566">
        <v>1</v>
      </c>
      <c r="N48" s="567">
        <v>3</v>
      </c>
      <c r="O48" s="547"/>
      <c r="P48" s="547"/>
      <c r="Q48" s="118">
        <v>243</v>
      </c>
      <c r="R48" s="119" t="s">
        <v>11</v>
      </c>
      <c r="S48" s="212">
        <v>2.7</v>
      </c>
      <c r="T48" s="118"/>
      <c r="U48" s="121"/>
      <c r="V48" s="588"/>
      <c r="W48" s="121"/>
      <c r="X48" s="588"/>
      <c r="Y48" s="588"/>
      <c r="Z48" s="555"/>
      <c r="AA48" s="556"/>
      <c r="AB48" s="547"/>
    </row>
    <row r="49" spans="2:28" ht="15" x14ac:dyDescent="0.25">
      <c r="B49" s="169">
        <v>144</v>
      </c>
      <c r="C49" s="401" t="s">
        <v>45</v>
      </c>
      <c r="D49" s="308">
        <v>73.8</v>
      </c>
      <c r="E49" s="309"/>
      <c r="F49" s="307"/>
      <c r="G49" s="582"/>
      <c r="H49" s="307">
        <v>2</v>
      </c>
      <c r="I49" s="582">
        <v>2</v>
      </c>
      <c r="J49" s="582"/>
      <c r="K49" s="307"/>
      <c r="L49" s="310"/>
      <c r="M49" s="566">
        <v>1</v>
      </c>
      <c r="N49" s="567"/>
      <c r="O49" s="547"/>
      <c r="P49" s="547"/>
      <c r="Q49" s="118">
        <v>244</v>
      </c>
      <c r="R49" s="119" t="s">
        <v>12</v>
      </c>
      <c r="S49" s="212">
        <v>20.100000000000001</v>
      </c>
      <c r="T49" s="118"/>
      <c r="U49" s="121"/>
      <c r="V49" s="588"/>
      <c r="W49" s="121"/>
      <c r="X49" s="588"/>
      <c r="Y49" s="588"/>
      <c r="Z49" s="555"/>
      <c r="AA49" s="556"/>
      <c r="AB49" s="547"/>
    </row>
    <row r="50" spans="2:28" ht="15" x14ac:dyDescent="0.25">
      <c r="B50" s="169">
        <v>145</v>
      </c>
      <c r="C50" s="401" t="s">
        <v>46</v>
      </c>
      <c r="D50" s="308">
        <v>50</v>
      </c>
      <c r="E50" s="309"/>
      <c r="F50" s="307"/>
      <c r="G50" s="582"/>
      <c r="H50" s="307"/>
      <c r="I50" s="582"/>
      <c r="J50" s="582">
        <v>2</v>
      </c>
      <c r="K50" s="307"/>
      <c r="L50" s="310"/>
      <c r="M50" s="566"/>
      <c r="N50" s="567"/>
      <c r="O50" s="547"/>
      <c r="P50" s="547"/>
      <c r="Q50" s="118">
        <v>245</v>
      </c>
      <c r="R50" s="119" t="s">
        <v>65</v>
      </c>
      <c r="S50" s="212">
        <v>24.9</v>
      </c>
      <c r="T50" s="118"/>
      <c r="U50" s="121"/>
      <c r="V50" s="588"/>
      <c r="W50" s="121"/>
      <c r="X50" s="588"/>
      <c r="Y50" s="588"/>
      <c r="Z50" s="555"/>
      <c r="AA50" s="556"/>
      <c r="AB50" s="547"/>
    </row>
    <row r="51" spans="2:28" ht="15" x14ac:dyDescent="0.25">
      <c r="B51" s="169">
        <v>146</v>
      </c>
      <c r="C51" s="401" t="s">
        <v>47</v>
      </c>
      <c r="D51" s="308">
        <v>73.8</v>
      </c>
      <c r="E51" s="309"/>
      <c r="F51" s="307">
        <v>1</v>
      </c>
      <c r="G51" s="582">
        <v>2</v>
      </c>
      <c r="H51" s="307"/>
      <c r="I51" s="582"/>
      <c r="J51" s="582"/>
      <c r="K51" s="307"/>
      <c r="L51" s="310"/>
      <c r="M51" s="566">
        <v>1</v>
      </c>
      <c r="N51" s="567"/>
      <c r="O51" s="547"/>
      <c r="P51" s="547"/>
      <c r="Q51" s="118">
        <v>246</v>
      </c>
      <c r="R51" s="119" t="s">
        <v>93</v>
      </c>
      <c r="S51" s="212">
        <v>128.69999999999999</v>
      </c>
      <c r="T51" s="118"/>
      <c r="U51" s="121"/>
      <c r="V51" s="588"/>
      <c r="W51" s="121"/>
      <c r="X51" s="588"/>
      <c r="Y51" s="588"/>
      <c r="Z51" s="555"/>
      <c r="AA51" s="556"/>
      <c r="AB51" s="547"/>
    </row>
    <row r="52" spans="2:28" ht="15.75" thickBot="1" x14ac:dyDescent="0.3">
      <c r="B52" s="169">
        <v>147</v>
      </c>
      <c r="C52" s="401" t="s">
        <v>48</v>
      </c>
      <c r="D52" s="308">
        <v>22.7</v>
      </c>
      <c r="E52" s="309"/>
      <c r="F52" s="307"/>
      <c r="G52" s="582"/>
      <c r="H52" s="307"/>
      <c r="I52" s="582"/>
      <c r="J52" s="582"/>
      <c r="K52" s="307"/>
      <c r="L52" s="310"/>
      <c r="M52" s="566">
        <v>1</v>
      </c>
      <c r="N52" s="567">
        <v>2</v>
      </c>
      <c r="O52" s="547"/>
      <c r="P52" s="547"/>
      <c r="Q52" s="118">
        <v>247</v>
      </c>
      <c r="R52" s="119" t="s">
        <v>94</v>
      </c>
      <c r="S52" s="275">
        <v>16.2</v>
      </c>
      <c r="T52" s="84">
        <v>1</v>
      </c>
      <c r="U52" s="224"/>
      <c r="V52" s="590"/>
      <c r="W52" s="224"/>
      <c r="X52" s="590"/>
      <c r="Y52" s="590"/>
      <c r="Z52" s="559"/>
      <c r="AA52" s="560"/>
      <c r="AB52" s="547"/>
    </row>
    <row r="53" spans="2:28" ht="14.25" x14ac:dyDescent="0.2">
      <c r="B53" s="169">
        <v>148</v>
      </c>
      <c r="C53" s="401" t="s">
        <v>49</v>
      </c>
      <c r="D53" s="308">
        <v>48.5</v>
      </c>
      <c r="E53" s="309"/>
      <c r="F53" s="307"/>
      <c r="G53" s="582"/>
      <c r="H53" s="307"/>
      <c r="I53" s="582"/>
      <c r="J53" s="582">
        <v>2</v>
      </c>
      <c r="K53" s="307"/>
      <c r="L53" s="310"/>
      <c r="M53" s="566"/>
      <c r="N53" s="567"/>
      <c r="O53" s="547"/>
      <c r="P53" s="547"/>
      <c r="Q53" s="86"/>
      <c r="R53" s="347" t="s">
        <v>0</v>
      </c>
      <c r="S53" s="364">
        <f>SUM(S6:S52)</f>
        <v>1671.8999999999999</v>
      </c>
      <c r="T53" s="86">
        <f t="shared" ref="T53:AA53" si="0">SUM(T11:T52)</f>
        <v>6</v>
      </c>
      <c r="U53" s="138">
        <f t="shared" si="0"/>
        <v>2</v>
      </c>
      <c r="V53" s="591">
        <f t="shared" si="0"/>
        <v>4</v>
      </c>
      <c r="W53" s="138">
        <f t="shared" si="0"/>
        <v>8</v>
      </c>
      <c r="X53" s="591">
        <f t="shared" si="0"/>
        <v>8</v>
      </c>
      <c r="Y53" s="591">
        <f t="shared" si="0"/>
        <v>12</v>
      </c>
      <c r="Z53" s="561">
        <f t="shared" si="0"/>
        <v>18</v>
      </c>
      <c r="AA53" s="562">
        <f t="shared" si="0"/>
        <v>12</v>
      </c>
      <c r="AB53" s="547"/>
    </row>
    <row r="54" spans="2:28" ht="15" thickBot="1" x14ac:dyDescent="0.25">
      <c r="B54" s="169">
        <v>149</v>
      </c>
      <c r="C54" s="401" t="s">
        <v>50</v>
      </c>
      <c r="D54" s="308">
        <v>14.9</v>
      </c>
      <c r="E54" s="402"/>
      <c r="F54" s="403"/>
      <c r="G54" s="581"/>
      <c r="H54" s="403"/>
      <c r="I54" s="581"/>
      <c r="J54" s="581"/>
      <c r="K54" s="403"/>
      <c r="L54" s="404"/>
      <c r="M54" s="564">
        <v>1</v>
      </c>
      <c r="N54" s="565"/>
      <c r="O54" s="547"/>
      <c r="P54" s="547"/>
      <c r="Q54" s="141"/>
      <c r="R54" s="142" t="s">
        <v>96</v>
      </c>
      <c r="S54" s="144">
        <f>S53+gridas_1st!S76+'gridas_3 st'!S7</f>
        <v>1671.8999999999999</v>
      </c>
      <c r="T54" s="550">
        <f>SUM(T53+E77)</f>
        <v>9</v>
      </c>
      <c r="U54" s="551">
        <f>SUM(U53+F77)</f>
        <v>4</v>
      </c>
      <c r="V54" s="592">
        <f>SUM(V53)</f>
        <v>4</v>
      </c>
      <c r="W54" s="551">
        <f>SUM(W53+H77)</f>
        <v>16</v>
      </c>
      <c r="X54" s="592">
        <f>SUM(X53)</f>
        <v>8</v>
      </c>
      <c r="Y54" s="592">
        <f>SUM(Y53)</f>
        <v>12</v>
      </c>
      <c r="Z54" s="570">
        <f>SUM(Z53+M77)</f>
        <v>42</v>
      </c>
      <c r="AA54" s="563">
        <f>SUM(AA53+N77)</f>
        <v>32</v>
      </c>
      <c r="AB54" s="547"/>
    </row>
    <row r="55" spans="2:28" x14ac:dyDescent="0.2">
      <c r="B55" s="169">
        <v>150</v>
      </c>
      <c r="C55" s="401" t="s">
        <v>11</v>
      </c>
      <c r="D55" s="308">
        <v>24.4</v>
      </c>
      <c r="E55" s="309"/>
      <c r="F55" s="307"/>
      <c r="G55" s="582"/>
      <c r="H55" s="307"/>
      <c r="I55" s="582"/>
      <c r="J55" s="582"/>
      <c r="K55" s="307"/>
      <c r="L55" s="310"/>
      <c r="M55" s="566"/>
      <c r="N55" s="567"/>
      <c r="O55" s="547"/>
      <c r="P55" s="547"/>
      <c r="Q55" s="547"/>
      <c r="R55" s="547"/>
      <c r="S55" s="547"/>
      <c r="T55" s="547"/>
      <c r="U55" s="547"/>
      <c r="V55" s="547"/>
      <c r="W55" s="547"/>
      <c r="X55" s="547"/>
      <c r="Y55" s="547"/>
      <c r="Z55" s="547"/>
      <c r="AA55" s="547"/>
      <c r="AB55" s="547"/>
    </row>
    <row r="56" spans="2:28" x14ac:dyDescent="0.2">
      <c r="B56" s="169">
        <v>151</v>
      </c>
      <c r="C56" s="401" t="s">
        <v>16</v>
      </c>
      <c r="D56" s="308">
        <v>36.6</v>
      </c>
      <c r="E56" s="309"/>
      <c r="F56" s="307"/>
      <c r="G56" s="582"/>
      <c r="H56" s="307"/>
      <c r="I56" s="582"/>
      <c r="J56" s="582"/>
      <c r="K56" s="307"/>
      <c r="L56" s="310"/>
      <c r="M56" s="566"/>
      <c r="N56" s="567"/>
      <c r="O56" s="547"/>
      <c r="P56" s="547"/>
      <c r="Q56" s="547"/>
      <c r="R56" s="547"/>
      <c r="S56" s="547"/>
      <c r="T56" s="547"/>
      <c r="U56" s="547"/>
      <c r="V56" s="547"/>
      <c r="W56" s="547"/>
      <c r="X56" s="547"/>
      <c r="Y56" s="547"/>
      <c r="Z56" s="547"/>
      <c r="AA56" s="547"/>
      <c r="AB56" s="547"/>
    </row>
    <row r="57" spans="2:28" x14ac:dyDescent="0.2">
      <c r="B57" s="169">
        <v>152</v>
      </c>
      <c r="C57" s="401" t="s">
        <v>51</v>
      </c>
      <c r="D57" s="308">
        <v>3.6</v>
      </c>
      <c r="E57" s="309"/>
      <c r="F57" s="307"/>
      <c r="G57" s="582"/>
      <c r="H57" s="307"/>
      <c r="I57" s="582"/>
      <c r="J57" s="582"/>
      <c r="K57" s="307"/>
      <c r="L57" s="310"/>
      <c r="M57" s="566"/>
      <c r="N57" s="567"/>
      <c r="O57" s="547"/>
      <c r="P57" s="547"/>
      <c r="Q57" s="634" t="s">
        <v>361</v>
      </c>
      <c r="R57" s="634"/>
      <c r="S57" s="634"/>
      <c r="T57" s="634"/>
      <c r="U57" s="634"/>
      <c r="V57" s="634"/>
      <c r="W57" s="634"/>
      <c r="X57" s="634"/>
      <c r="Y57" s="634"/>
      <c r="Z57" s="634"/>
      <c r="AA57" s="634"/>
      <c r="AB57" s="547"/>
    </row>
    <row r="58" spans="2:28" x14ac:dyDescent="0.2">
      <c r="B58" s="169">
        <v>153</v>
      </c>
      <c r="C58" s="401" t="s">
        <v>52</v>
      </c>
      <c r="D58" s="308">
        <v>4</v>
      </c>
      <c r="E58" s="309"/>
      <c r="F58" s="307"/>
      <c r="G58" s="582"/>
      <c r="H58" s="307"/>
      <c r="I58" s="582"/>
      <c r="J58" s="582"/>
      <c r="K58" s="307"/>
      <c r="L58" s="310"/>
      <c r="M58" s="566"/>
      <c r="N58" s="567"/>
      <c r="O58" s="547"/>
      <c r="P58" s="547"/>
      <c r="Q58" s="547"/>
      <c r="R58" s="547"/>
      <c r="S58" s="547"/>
      <c r="T58" s="547"/>
      <c r="U58" s="547"/>
      <c r="V58" s="547"/>
      <c r="W58" s="547"/>
      <c r="X58" s="547"/>
      <c r="Y58" s="547"/>
      <c r="Z58" s="547"/>
      <c r="AA58" s="547"/>
      <c r="AB58" s="547"/>
    </row>
    <row r="59" spans="2:28" x14ac:dyDescent="0.2">
      <c r="B59" s="169">
        <v>154</v>
      </c>
      <c r="C59" s="401" t="s">
        <v>53</v>
      </c>
      <c r="D59" s="308">
        <v>15.6</v>
      </c>
      <c r="E59" s="309"/>
      <c r="F59" s="307"/>
      <c r="G59" s="582"/>
      <c r="H59" s="307"/>
      <c r="I59" s="582"/>
      <c r="J59" s="582"/>
      <c r="K59" s="307"/>
      <c r="L59" s="310"/>
      <c r="M59" s="566"/>
      <c r="N59" s="567"/>
      <c r="O59" s="547"/>
      <c r="P59" s="547"/>
      <c r="Q59" s="547"/>
      <c r="R59" s="547"/>
      <c r="S59" s="547"/>
      <c r="T59" s="547"/>
      <c r="U59" s="547"/>
      <c r="V59" s="547"/>
      <c r="W59" s="547"/>
      <c r="X59" s="547"/>
      <c r="Y59" s="547"/>
      <c r="Z59" s="547"/>
      <c r="AA59" s="547"/>
      <c r="AB59" s="547"/>
    </row>
    <row r="60" spans="2:28" x14ac:dyDescent="0.2">
      <c r="B60" s="169">
        <v>155</v>
      </c>
      <c r="C60" s="401" t="s">
        <v>16</v>
      </c>
      <c r="D60" s="308">
        <v>12.1</v>
      </c>
      <c r="E60" s="309"/>
      <c r="F60" s="307"/>
      <c r="G60" s="582"/>
      <c r="H60" s="307"/>
      <c r="I60" s="582"/>
      <c r="J60" s="582"/>
      <c r="K60" s="307"/>
      <c r="L60" s="310"/>
      <c r="M60" s="566"/>
      <c r="N60" s="567"/>
      <c r="O60" s="547"/>
      <c r="P60" s="547"/>
      <c r="Q60" s="547"/>
      <c r="R60" s="547"/>
      <c r="S60" s="547"/>
      <c r="T60" s="547"/>
      <c r="U60" s="547"/>
      <c r="V60" s="547"/>
      <c r="W60" s="547"/>
      <c r="X60" s="547"/>
      <c r="Y60" s="547"/>
      <c r="Z60" s="547"/>
      <c r="AA60" s="547"/>
      <c r="AB60" s="547"/>
    </row>
    <row r="61" spans="2:28" x14ac:dyDescent="0.2">
      <c r="B61" s="169">
        <v>156</v>
      </c>
      <c r="C61" s="401" t="s">
        <v>54</v>
      </c>
      <c r="D61" s="308">
        <v>5.0999999999999996</v>
      </c>
      <c r="E61" s="309"/>
      <c r="F61" s="307"/>
      <c r="G61" s="582"/>
      <c r="H61" s="307"/>
      <c r="I61" s="582"/>
      <c r="J61" s="582"/>
      <c r="K61" s="307"/>
      <c r="L61" s="310"/>
      <c r="M61" s="566"/>
      <c r="N61" s="567"/>
      <c r="O61" s="547"/>
      <c r="P61" s="547"/>
      <c r="Q61" s="547"/>
      <c r="R61" s="547"/>
      <c r="S61" s="547"/>
      <c r="T61" s="547"/>
      <c r="U61" s="547"/>
      <c r="V61" s="547"/>
      <c r="W61" s="547"/>
      <c r="X61" s="547"/>
      <c r="Y61" s="547"/>
      <c r="Z61" s="547"/>
      <c r="AA61" s="547"/>
      <c r="AB61" s="547"/>
    </row>
    <row r="62" spans="2:28" x14ac:dyDescent="0.2">
      <c r="B62" s="169">
        <v>157</v>
      </c>
      <c r="C62" s="401" t="s">
        <v>22</v>
      </c>
      <c r="D62" s="308">
        <v>3.9</v>
      </c>
      <c r="E62" s="309"/>
      <c r="F62" s="307"/>
      <c r="G62" s="582"/>
      <c r="H62" s="307"/>
      <c r="I62" s="582"/>
      <c r="J62" s="582"/>
      <c r="K62" s="307"/>
      <c r="L62" s="310"/>
      <c r="M62" s="566"/>
      <c r="N62" s="567"/>
      <c r="O62" s="547"/>
      <c r="P62" s="547"/>
      <c r="Q62" s="547"/>
      <c r="R62" s="547"/>
      <c r="S62" s="547"/>
      <c r="T62" s="547"/>
      <c r="U62" s="547"/>
      <c r="V62" s="547"/>
      <c r="W62" s="547"/>
      <c r="X62" s="547"/>
      <c r="Y62" s="547"/>
      <c r="Z62" s="547"/>
      <c r="AA62" s="547"/>
      <c r="AB62" s="547"/>
    </row>
    <row r="63" spans="2:28" x14ac:dyDescent="0.2">
      <c r="B63" s="169">
        <v>158</v>
      </c>
      <c r="C63" s="401" t="s">
        <v>55</v>
      </c>
      <c r="D63" s="308">
        <v>2</v>
      </c>
      <c r="E63" s="309"/>
      <c r="F63" s="307"/>
      <c r="G63" s="582"/>
      <c r="H63" s="307"/>
      <c r="I63" s="582"/>
      <c r="J63" s="582"/>
      <c r="K63" s="307"/>
      <c r="L63" s="310"/>
      <c r="M63" s="566"/>
      <c r="N63" s="567"/>
      <c r="O63" s="547"/>
      <c r="P63" s="547"/>
      <c r="Q63" s="547"/>
      <c r="R63" s="547"/>
      <c r="S63" s="547"/>
      <c r="T63" s="547"/>
      <c r="U63" s="547"/>
      <c r="V63" s="547"/>
      <c r="W63" s="547"/>
      <c r="X63" s="547"/>
      <c r="Y63" s="547"/>
      <c r="Z63" s="547"/>
      <c r="AA63" s="547"/>
      <c r="AB63" s="547"/>
    </row>
    <row r="64" spans="2:28" x14ac:dyDescent="0.2">
      <c r="B64" s="169">
        <v>159</v>
      </c>
      <c r="C64" s="401" t="s">
        <v>17</v>
      </c>
      <c r="D64" s="308">
        <v>2.2999999999999998</v>
      </c>
      <c r="E64" s="309"/>
      <c r="F64" s="307"/>
      <c r="G64" s="582"/>
      <c r="H64" s="307"/>
      <c r="I64" s="582"/>
      <c r="J64" s="582"/>
      <c r="K64" s="307"/>
      <c r="L64" s="310"/>
      <c r="M64" s="566"/>
      <c r="N64" s="567"/>
      <c r="O64" s="547"/>
      <c r="P64" s="547"/>
      <c r="Q64" s="547"/>
      <c r="R64" s="547"/>
      <c r="S64" s="547"/>
      <c r="T64" s="547"/>
      <c r="U64" s="547"/>
      <c r="V64" s="547"/>
      <c r="W64" s="547"/>
      <c r="X64" s="547"/>
      <c r="Y64" s="547"/>
      <c r="Z64" s="547"/>
      <c r="AA64" s="547"/>
      <c r="AB64" s="547"/>
    </row>
    <row r="65" spans="2:28" x14ac:dyDescent="0.2">
      <c r="B65" s="169">
        <v>160</v>
      </c>
      <c r="C65" s="401" t="s">
        <v>16</v>
      </c>
      <c r="D65" s="308">
        <v>4.5</v>
      </c>
      <c r="E65" s="309"/>
      <c r="F65" s="307"/>
      <c r="G65" s="582"/>
      <c r="H65" s="307"/>
      <c r="I65" s="582"/>
      <c r="J65" s="582"/>
      <c r="K65" s="307"/>
      <c r="L65" s="310"/>
      <c r="M65" s="566"/>
      <c r="N65" s="567"/>
      <c r="O65" s="547"/>
      <c r="P65" s="547"/>
      <c r="Q65" s="547"/>
      <c r="R65" s="547"/>
      <c r="S65" s="547"/>
      <c r="T65" s="547"/>
      <c r="U65" s="547"/>
      <c r="V65" s="547"/>
      <c r="W65" s="547"/>
      <c r="X65" s="547"/>
      <c r="Y65" s="547"/>
      <c r="Z65" s="547"/>
      <c r="AA65" s="547"/>
      <c r="AB65" s="547"/>
    </row>
    <row r="66" spans="2:28" x14ac:dyDescent="0.2">
      <c r="B66" s="169">
        <v>161</v>
      </c>
      <c r="C66" s="401" t="s">
        <v>56</v>
      </c>
      <c r="D66" s="308">
        <v>7</v>
      </c>
      <c r="E66" s="309"/>
      <c r="F66" s="307"/>
      <c r="G66" s="582"/>
      <c r="H66" s="307"/>
      <c r="I66" s="582"/>
      <c r="J66" s="582"/>
      <c r="K66" s="307"/>
      <c r="L66" s="310"/>
      <c r="M66" s="566"/>
      <c r="N66" s="567"/>
      <c r="O66" s="547"/>
      <c r="P66" s="547"/>
      <c r="Q66" s="547"/>
      <c r="R66" s="547"/>
      <c r="S66" s="547"/>
      <c r="T66" s="547"/>
      <c r="U66" s="547"/>
      <c r="V66" s="547"/>
      <c r="W66" s="547"/>
      <c r="X66" s="547"/>
      <c r="Y66" s="547"/>
      <c r="Z66" s="547"/>
      <c r="AA66" s="547"/>
      <c r="AB66" s="547"/>
    </row>
    <row r="67" spans="2:28" x14ac:dyDescent="0.2">
      <c r="B67" s="169">
        <v>163</v>
      </c>
      <c r="C67" s="401" t="s">
        <v>57</v>
      </c>
      <c r="D67" s="308">
        <v>4.4000000000000004</v>
      </c>
      <c r="E67" s="309"/>
      <c r="F67" s="307"/>
      <c r="G67" s="582"/>
      <c r="H67" s="307"/>
      <c r="I67" s="582"/>
      <c r="J67" s="582"/>
      <c r="K67" s="307"/>
      <c r="L67" s="310"/>
      <c r="M67" s="566"/>
      <c r="N67" s="567"/>
      <c r="O67" s="547"/>
      <c r="P67" s="547"/>
      <c r="Q67" s="547"/>
      <c r="R67" s="547"/>
      <c r="S67" s="547"/>
      <c r="T67" s="547"/>
      <c r="U67" s="547"/>
      <c r="V67" s="547"/>
      <c r="W67" s="547"/>
      <c r="X67" s="547"/>
      <c r="Y67" s="547"/>
      <c r="Z67" s="547"/>
      <c r="AA67" s="547"/>
      <c r="AB67" s="547"/>
    </row>
    <row r="68" spans="2:28" x14ac:dyDescent="0.2">
      <c r="B68" s="169">
        <v>165</v>
      </c>
      <c r="C68" s="401" t="s">
        <v>58</v>
      </c>
      <c r="D68" s="308">
        <v>5.3</v>
      </c>
      <c r="E68" s="309"/>
      <c r="F68" s="307"/>
      <c r="G68" s="582"/>
      <c r="H68" s="307"/>
      <c r="I68" s="582"/>
      <c r="J68" s="582"/>
      <c r="K68" s="307"/>
      <c r="L68" s="310"/>
      <c r="M68" s="566"/>
      <c r="N68" s="567"/>
      <c r="O68" s="547"/>
      <c r="P68" s="547"/>
      <c r="Q68" s="547"/>
      <c r="R68" s="547"/>
      <c r="S68" s="547"/>
      <c r="T68" s="547"/>
      <c r="U68" s="547"/>
      <c r="V68" s="547"/>
      <c r="W68" s="547"/>
      <c r="X68" s="547"/>
      <c r="Y68" s="547"/>
      <c r="Z68" s="547"/>
      <c r="AA68" s="547"/>
      <c r="AB68" s="547"/>
    </row>
    <row r="69" spans="2:28" x14ac:dyDescent="0.2">
      <c r="B69" s="169">
        <v>166</v>
      </c>
      <c r="C69" s="401" t="s">
        <v>59</v>
      </c>
      <c r="D69" s="308">
        <v>4.4000000000000004</v>
      </c>
      <c r="E69" s="309"/>
      <c r="F69" s="307"/>
      <c r="G69" s="582"/>
      <c r="H69" s="307"/>
      <c r="I69" s="582"/>
      <c r="J69" s="582"/>
      <c r="K69" s="307"/>
      <c r="L69" s="310"/>
      <c r="M69" s="566"/>
      <c r="N69" s="567"/>
      <c r="O69" s="547"/>
      <c r="P69" s="547"/>
      <c r="Q69" s="547"/>
      <c r="R69" s="547"/>
      <c r="S69" s="547"/>
      <c r="T69" s="547"/>
      <c r="U69" s="547"/>
      <c r="V69" s="547"/>
      <c r="W69" s="547"/>
      <c r="X69" s="547"/>
      <c r="Y69" s="547"/>
      <c r="Z69" s="547"/>
      <c r="AA69" s="547"/>
      <c r="AB69" s="547"/>
    </row>
    <row r="70" spans="2:28" x14ac:dyDescent="0.2">
      <c r="B70" s="169">
        <v>167</v>
      </c>
      <c r="C70" s="401" t="s">
        <v>60</v>
      </c>
      <c r="D70" s="308">
        <v>3.2</v>
      </c>
      <c r="E70" s="309"/>
      <c r="F70" s="307"/>
      <c r="G70" s="582"/>
      <c r="H70" s="307"/>
      <c r="I70" s="582"/>
      <c r="J70" s="582"/>
      <c r="K70" s="307"/>
      <c r="L70" s="310"/>
      <c r="M70" s="566"/>
      <c r="N70" s="567"/>
      <c r="O70" s="547"/>
      <c r="P70" s="547"/>
      <c r="Q70" s="547"/>
      <c r="R70" s="547"/>
      <c r="S70" s="547"/>
      <c r="T70" s="547"/>
      <c r="U70" s="547"/>
      <c r="V70" s="547"/>
      <c r="W70" s="547"/>
      <c r="X70" s="547"/>
      <c r="Y70" s="547"/>
      <c r="Z70" s="547"/>
      <c r="AA70" s="547"/>
      <c r="AB70" s="547"/>
    </row>
    <row r="71" spans="2:28" x14ac:dyDescent="0.2">
      <c r="B71" s="169">
        <v>168</v>
      </c>
      <c r="C71" s="401" t="s">
        <v>61</v>
      </c>
      <c r="D71" s="308">
        <v>5.0999999999999996</v>
      </c>
      <c r="E71" s="309"/>
      <c r="F71" s="307"/>
      <c r="G71" s="582"/>
      <c r="H71" s="307"/>
      <c r="I71" s="582"/>
      <c r="J71" s="582"/>
      <c r="K71" s="307"/>
      <c r="L71" s="310"/>
      <c r="M71" s="566"/>
      <c r="N71" s="567"/>
      <c r="O71" s="547"/>
      <c r="P71" s="547"/>
      <c r="Q71" s="547"/>
      <c r="R71" s="578"/>
      <c r="S71" s="547"/>
      <c r="T71" s="547"/>
      <c r="U71" s="547"/>
      <c r="V71" s="547"/>
      <c r="W71" s="547"/>
      <c r="X71" s="547"/>
      <c r="Y71" s="547"/>
      <c r="Z71" s="547"/>
      <c r="AA71" s="547"/>
      <c r="AB71" s="547"/>
    </row>
    <row r="72" spans="2:28" x14ac:dyDescent="0.2">
      <c r="B72" s="169">
        <v>169</v>
      </c>
      <c r="C72" s="401" t="s">
        <v>60</v>
      </c>
      <c r="D72" s="308">
        <v>26.7</v>
      </c>
      <c r="E72" s="309"/>
      <c r="F72" s="307"/>
      <c r="G72" s="582"/>
      <c r="H72" s="307"/>
      <c r="I72" s="582"/>
      <c r="J72" s="582"/>
      <c r="K72" s="307"/>
      <c r="L72" s="310"/>
      <c r="M72" s="566"/>
      <c r="N72" s="567"/>
      <c r="O72" s="547"/>
      <c r="P72" s="547"/>
      <c r="Q72" s="547"/>
      <c r="R72" s="547"/>
      <c r="S72" s="547"/>
      <c r="T72" s="547"/>
      <c r="U72" s="547"/>
      <c r="V72" s="547"/>
      <c r="W72" s="547"/>
      <c r="X72" s="547"/>
      <c r="Y72" s="547"/>
      <c r="Z72" s="547"/>
      <c r="AA72" s="547"/>
      <c r="AB72" s="547"/>
    </row>
    <row r="73" spans="2:28" x14ac:dyDescent="0.2">
      <c r="B73" s="169">
        <v>170</v>
      </c>
      <c r="C73" s="401" t="s">
        <v>12</v>
      </c>
      <c r="D73" s="308">
        <v>9.4</v>
      </c>
      <c r="E73" s="309"/>
      <c r="F73" s="307"/>
      <c r="G73" s="582"/>
      <c r="H73" s="307"/>
      <c r="I73" s="582"/>
      <c r="J73" s="582"/>
      <c r="K73" s="307"/>
      <c r="L73" s="310"/>
      <c r="M73" s="566"/>
      <c r="N73" s="567"/>
      <c r="O73" s="547"/>
      <c r="P73" s="547"/>
      <c r="Q73" s="547"/>
      <c r="R73" s="547"/>
      <c r="S73" s="547"/>
      <c r="T73" s="547"/>
      <c r="U73" s="547"/>
      <c r="V73" s="547"/>
      <c r="W73" s="547"/>
      <c r="X73" s="547"/>
      <c r="Y73" s="547"/>
      <c r="Z73" s="547"/>
      <c r="AA73" s="547"/>
      <c r="AB73" s="547"/>
    </row>
    <row r="74" spans="2:28" x14ac:dyDescent="0.2">
      <c r="B74" s="169">
        <v>171</v>
      </c>
      <c r="C74" s="401" t="s">
        <v>12</v>
      </c>
      <c r="D74" s="308">
        <v>9.5</v>
      </c>
      <c r="E74" s="309"/>
      <c r="F74" s="307"/>
      <c r="G74" s="582"/>
      <c r="H74" s="307"/>
      <c r="I74" s="582"/>
      <c r="J74" s="582"/>
      <c r="K74" s="307"/>
      <c r="L74" s="310"/>
      <c r="M74" s="566"/>
      <c r="N74" s="567"/>
      <c r="O74" s="547"/>
      <c r="P74" s="547"/>
      <c r="Q74" s="547"/>
      <c r="R74" s="547"/>
      <c r="S74" s="547"/>
      <c r="T74" s="547"/>
      <c r="U74" s="547"/>
      <c r="V74" s="547"/>
      <c r="W74" s="547"/>
      <c r="X74" s="547"/>
      <c r="Y74" s="547"/>
      <c r="Z74" s="547"/>
      <c r="AA74" s="547"/>
      <c r="AB74" s="547"/>
    </row>
    <row r="75" spans="2:28" x14ac:dyDescent="0.2">
      <c r="B75" s="169">
        <v>172</v>
      </c>
      <c r="C75" s="401" t="s">
        <v>62</v>
      </c>
      <c r="D75" s="308">
        <v>176.6</v>
      </c>
      <c r="E75" s="166"/>
      <c r="F75" s="168"/>
      <c r="G75" s="582"/>
      <c r="H75" s="168"/>
      <c r="I75" s="582"/>
      <c r="J75" s="582"/>
      <c r="K75" s="168"/>
      <c r="L75" s="306"/>
      <c r="M75" s="566"/>
      <c r="N75" s="567"/>
      <c r="O75" s="154"/>
      <c r="P75" s="154"/>
      <c r="Q75" s="154"/>
      <c r="R75" s="547"/>
      <c r="S75" s="547"/>
      <c r="T75" s="154"/>
      <c r="U75" s="154"/>
      <c r="V75" s="154"/>
      <c r="W75" s="547"/>
      <c r="X75" s="547"/>
      <c r="Y75" s="547"/>
      <c r="Z75" s="154"/>
      <c r="AA75" s="154"/>
      <c r="AB75" s="154"/>
    </row>
    <row r="76" spans="2:28" ht="13.5" thickBot="1" x14ac:dyDescent="0.25">
      <c r="B76" s="409">
        <v>173</v>
      </c>
      <c r="C76" s="410" t="s">
        <v>63</v>
      </c>
      <c r="D76" s="314">
        <v>2.2000000000000002</v>
      </c>
      <c r="E76" s="411"/>
      <c r="F76" s="313"/>
      <c r="G76" s="583"/>
      <c r="H76" s="313"/>
      <c r="I76" s="583"/>
      <c r="J76" s="583"/>
      <c r="K76" s="313"/>
      <c r="L76" s="312"/>
      <c r="M76" s="568"/>
      <c r="N76" s="569"/>
      <c r="O76" s="154"/>
      <c r="P76" s="154"/>
      <c r="Q76" s="154"/>
      <c r="R76" s="547"/>
      <c r="S76" s="547"/>
      <c r="T76" s="154"/>
      <c r="U76" s="154"/>
      <c r="V76" s="154"/>
      <c r="W76" s="547"/>
      <c r="X76" s="547"/>
      <c r="Y76" s="547"/>
      <c r="Z76" s="154"/>
      <c r="AA76" s="154"/>
      <c r="AB76" s="154"/>
    </row>
    <row r="77" spans="2:28" x14ac:dyDescent="0.2">
      <c r="B77" s="413"/>
      <c r="C77" s="414" t="s">
        <v>1</v>
      </c>
      <c r="D77" s="593">
        <f t="shared" ref="D77" si="1">SUM(D6:D76)</f>
        <v>1786.3999999999999</v>
      </c>
      <c r="E77" s="171">
        <f t="shared" ref="E77:N77" si="2">SUM(E6:E76)</f>
        <v>3</v>
      </c>
      <c r="F77" s="173">
        <f t="shared" si="2"/>
        <v>2</v>
      </c>
      <c r="G77" s="584">
        <f t="shared" si="2"/>
        <v>4</v>
      </c>
      <c r="H77" s="173">
        <f t="shared" si="2"/>
        <v>8</v>
      </c>
      <c r="I77" s="584">
        <f t="shared" si="2"/>
        <v>8</v>
      </c>
      <c r="J77" s="584">
        <f t="shared" si="2"/>
        <v>12</v>
      </c>
      <c r="K77" s="173">
        <f t="shared" si="2"/>
        <v>4</v>
      </c>
      <c r="L77" s="342">
        <f t="shared" si="2"/>
        <v>3</v>
      </c>
      <c r="M77" s="171">
        <f t="shared" si="2"/>
        <v>24</v>
      </c>
      <c r="N77" s="417">
        <f t="shared" si="2"/>
        <v>20</v>
      </c>
      <c r="O77" s="548"/>
      <c r="P77" s="548"/>
      <c r="Q77" s="548"/>
      <c r="R77" s="549"/>
      <c r="S77" s="549"/>
      <c r="T77" s="548"/>
      <c r="U77" s="548"/>
      <c r="V77" s="548"/>
      <c r="W77" s="549"/>
      <c r="X77" s="549"/>
      <c r="Y77" s="549"/>
      <c r="Z77" s="548"/>
      <c r="AA77" s="548"/>
      <c r="AB77" s="548"/>
    </row>
    <row r="78" spans="2:28" ht="13.5" thickBot="1" x14ac:dyDescent="0.25">
      <c r="B78" s="179"/>
      <c r="C78" s="418" t="s">
        <v>96</v>
      </c>
      <c r="D78" s="594">
        <f>D77+gridas_2st!D52+'gridas_3 st'!D7</f>
        <v>8755.4</v>
      </c>
      <c r="E78" s="552">
        <f>SUM(E77+T53)</f>
        <v>9</v>
      </c>
      <c r="F78" s="553">
        <f>SUM(F77+U53)</f>
        <v>4</v>
      </c>
      <c r="G78" s="585">
        <f>SUM(G77)</f>
        <v>4</v>
      </c>
      <c r="H78" s="553">
        <f>SUM(H77+W53)</f>
        <v>16</v>
      </c>
      <c r="I78" s="585">
        <f>SUM(I77)</f>
        <v>8</v>
      </c>
      <c r="J78" s="585">
        <f>SUM(J77)</f>
        <v>12</v>
      </c>
      <c r="K78" s="553">
        <f>SUM(K77)</f>
        <v>4</v>
      </c>
      <c r="L78" s="554">
        <f>L77</f>
        <v>3</v>
      </c>
      <c r="M78" s="570">
        <f>SUM(M77+Z53)</f>
        <v>42</v>
      </c>
      <c r="N78" s="571">
        <f>SUM(N77+AA53)</f>
        <v>32</v>
      </c>
      <c r="O78" s="548"/>
      <c r="P78" s="548"/>
      <c r="Q78" s="548"/>
      <c r="R78" s="548"/>
      <c r="S78" s="549"/>
      <c r="T78" s="548"/>
      <c r="U78" s="548"/>
      <c r="V78" s="548"/>
      <c r="W78" s="549"/>
      <c r="X78" s="549"/>
      <c r="Y78" s="549"/>
      <c r="Z78" s="548"/>
      <c r="AA78" s="548"/>
      <c r="AB78" s="548"/>
    </row>
    <row r="79" spans="2:28" x14ac:dyDescent="0.2">
      <c r="E79" s="311"/>
      <c r="F79" s="311"/>
      <c r="G79" s="311"/>
      <c r="H79" s="311"/>
      <c r="I79" s="311"/>
      <c r="J79" s="311"/>
      <c r="K79" s="311"/>
      <c r="L79" s="311"/>
      <c r="M79" s="311"/>
      <c r="N79" s="311"/>
      <c r="O79" s="311"/>
      <c r="P79" s="311"/>
      <c r="Q79" s="311"/>
      <c r="R79" s="423"/>
      <c r="S79" s="423"/>
      <c r="T79" s="311"/>
      <c r="U79" s="311"/>
      <c r="V79" s="311"/>
      <c r="W79" s="423"/>
      <c r="X79" s="423"/>
      <c r="Y79" s="423"/>
      <c r="Z79" s="311"/>
    </row>
    <row r="80" spans="2:28" ht="13.5" x14ac:dyDescent="0.25">
      <c r="B80" s="181" t="s">
        <v>157</v>
      </c>
      <c r="C80" s="182"/>
      <c r="D80" s="183"/>
      <c r="E80" s="184"/>
      <c r="I80" s="181" t="s">
        <v>159</v>
      </c>
      <c r="J80" s="181"/>
    </row>
    <row r="81" spans="2:10" ht="13.5" x14ac:dyDescent="0.25">
      <c r="B81" s="181" t="s">
        <v>158</v>
      </c>
      <c r="C81" s="182"/>
      <c r="D81" s="183"/>
      <c r="E81" s="184"/>
      <c r="I81" s="181"/>
      <c r="J81" s="181" t="s">
        <v>103</v>
      </c>
    </row>
    <row r="82" spans="2:10" x14ac:dyDescent="0.2">
      <c r="B82" s="185"/>
      <c r="C82" s="181" t="s">
        <v>98</v>
      </c>
      <c r="D82" s="183"/>
      <c r="E82" s="184"/>
      <c r="I82" s="181"/>
      <c r="J82" s="181" t="s">
        <v>102</v>
      </c>
    </row>
    <row r="83" spans="2:10" x14ac:dyDescent="0.2">
      <c r="B83" s="151"/>
      <c r="D83" s="183"/>
      <c r="E83" s="184"/>
      <c r="I83" s="181"/>
      <c r="J83" s="181" t="s">
        <v>118</v>
      </c>
    </row>
    <row r="84" spans="2:10" x14ac:dyDescent="0.2">
      <c r="B84" s="151"/>
      <c r="D84" s="183"/>
      <c r="E84" s="184"/>
    </row>
    <row r="85" spans="2:10" x14ac:dyDescent="0.2">
      <c r="B85" s="151"/>
      <c r="D85" s="183"/>
      <c r="E85" s="184"/>
    </row>
    <row r="86" spans="2:10" x14ac:dyDescent="0.2">
      <c r="B86" s="151"/>
    </row>
  </sheetData>
  <mergeCells count="6">
    <mergeCell ref="Q57:AA57"/>
    <mergeCell ref="C2:AA2"/>
    <mergeCell ref="E4:L4"/>
    <mergeCell ref="M4:N4"/>
    <mergeCell ref="T4:Y4"/>
    <mergeCell ref="Z4:AA4"/>
  </mergeCells>
  <pageMargins left="0.7" right="0.7" top="0.75" bottom="0.75" header="0.3" footer="0.3"/>
  <pageSetup paperSize="8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9"/>
  <sheetViews>
    <sheetView topLeftCell="B25" zoomScaleNormal="100" workbookViewId="0">
      <pane xSplit="3" topLeftCell="E1" activePane="topRight" state="frozen"/>
      <selection activeCell="B1" sqref="B1"/>
      <selection pane="topRight" activeCell="R11" sqref="R11:R12"/>
    </sheetView>
  </sheetViews>
  <sheetFormatPr defaultRowHeight="15" x14ac:dyDescent="0.25"/>
  <cols>
    <col min="1" max="1" width="3.85546875" style="103" customWidth="1"/>
    <col min="2" max="2" width="5.7109375" style="102" customWidth="1"/>
    <col min="3" max="3" width="27.28515625" style="103" customWidth="1"/>
    <col min="4" max="4" width="10.5703125" style="102" customWidth="1"/>
    <col min="5" max="5" width="7.85546875" style="103" bestFit="1" customWidth="1"/>
    <col min="6" max="7" width="7.5703125" style="103" bestFit="1" customWidth="1"/>
    <col min="8" max="8" width="5.42578125" style="103" customWidth="1"/>
    <col min="9" max="9" width="5.5703125" style="103" customWidth="1"/>
    <col min="10" max="10" width="5.28515625" style="103" customWidth="1"/>
    <col min="11" max="11" width="8.42578125" style="103" customWidth="1"/>
    <col min="12" max="12" width="8" style="103" customWidth="1"/>
    <col min="13" max="13" width="7.28515625" style="103" customWidth="1"/>
    <col min="14" max="14" width="7.140625" style="103" customWidth="1"/>
    <col min="15" max="15" width="7.42578125" style="103" customWidth="1"/>
    <col min="16" max="16384" width="9.140625" style="103"/>
  </cols>
  <sheetData>
    <row r="1" spans="2:15" ht="15.75" thickBot="1" x14ac:dyDescent="0.3"/>
    <row r="2" spans="2:15" ht="18" thickBot="1" x14ac:dyDescent="0.3">
      <c r="E2" s="616" t="s">
        <v>137</v>
      </c>
      <c r="F2" s="617"/>
      <c r="G2" s="617"/>
      <c r="H2" s="617"/>
      <c r="I2" s="617"/>
      <c r="J2" s="617"/>
      <c r="K2" s="617"/>
      <c r="L2" s="617"/>
      <c r="M2" s="616" t="s">
        <v>123</v>
      </c>
      <c r="N2" s="617"/>
      <c r="O2" s="618"/>
    </row>
    <row r="3" spans="2:15" ht="238.5" customHeight="1" thickBot="1" x14ac:dyDescent="0.3">
      <c r="B3" s="104" t="s">
        <v>5</v>
      </c>
      <c r="C3" s="105" t="s">
        <v>3</v>
      </c>
      <c r="D3" s="106" t="s">
        <v>138</v>
      </c>
      <c r="E3" s="107" t="s">
        <v>139</v>
      </c>
      <c r="F3" s="108" t="s">
        <v>140</v>
      </c>
      <c r="G3" s="108" t="s">
        <v>141</v>
      </c>
      <c r="H3" s="108" t="s">
        <v>152</v>
      </c>
      <c r="I3" s="108" t="s">
        <v>142</v>
      </c>
      <c r="J3" s="109" t="s">
        <v>143</v>
      </c>
      <c r="K3" s="109" t="s">
        <v>144</v>
      </c>
      <c r="L3" s="109" t="s">
        <v>145</v>
      </c>
      <c r="M3" s="110" t="s">
        <v>146</v>
      </c>
      <c r="N3" s="111" t="s">
        <v>147</v>
      </c>
      <c r="O3" s="112" t="s">
        <v>148</v>
      </c>
    </row>
    <row r="4" spans="2:15" x14ac:dyDescent="0.25">
      <c r="B4" s="82">
        <v>201</v>
      </c>
      <c r="C4" s="113" t="s">
        <v>16</v>
      </c>
      <c r="D4" s="83">
        <v>73.5</v>
      </c>
      <c r="E4" s="82">
        <v>9</v>
      </c>
      <c r="F4" s="114">
        <v>73</v>
      </c>
      <c r="G4" s="114"/>
      <c r="H4" s="115"/>
      <c r="I4" s="115"/>
      <c r="J4" s="115"/>
      <c r="K4" s="115"/>
      <c r="L4" s="115"/>
      <c r="M4" s="116">
        <v>50.5</v>
      </c>
      <c r="N4" s="115"/>
      <c r="O4" s="117">
        <f>7*1.2</f>
        <v>8.4</v>
      </c>
    </row>
    <row r="5" spans="2:15" x14ac:dyDescent="0.25">
      <c r="B5" s="118">
        <v>202</v>
      </c>
      <c r="C5" s="119" t="s">
        <v>64</v>
      </c>
      <c r="D5" s="120">
        <v>45.2</v>
      </c>
      <c r="E5" s="118">
        <v>45.4</v>
      </c>
      <c r="F5" s="121"/>
      <c r="G5" s="121"/>
      <c r="H5" s="122"/>
      <c r="I5" s="122"/>
      <c r="J5" s="122"/>
      <c r="K5" s="122"/>
      <c r="L5" s="122"/>
      <c r="M5" s="123">
        <v>26.1</v>
      </c>
      <c r="N5" s="122"/>
      <c r="O5" s="124"/>
    </row>
    <row r="6" spans="2:15" x14ac:dyDescent="0.25">
      <c r="B6" s="118">
        <v>203</v>
      </c>
      <c r="C6" s="119" t="s">
        <v>64</v>
      </c>
      <c r="D6" s="120">
        <v>45.2</v>
      </c>
      <c r="E6" s="118">
        <v>45.4</v>
      </c>
      <c r="F6" s="121"/>
      <c r="G6" s="121"/>
      <c r="H6" s="122"/>
      <c r="I6" s="122"/>
      <c r="J6" s="122"/>
      <c r="K6" s="122"/>
      <c r="L6" s="122"/>
      <c r="M6" s="123">
        <v>26.1</v>
      </c>
      <c r="N6" s="122"/>
      <c r="O6" s="124"/>
    </row>
    <row r="7" spans="2:15" x14ac:dyDescent="0.25">
      <c r="B7" s="118">
        <v>204</v>
      </c>
      <c r="C7" s="119" t="s">
        <v>16</v>
      </c>
      <c r="D7" s="120">
        <v>37.299999999999997</v>
      </c>
      <c r="E7" s="118">
        <v>38.9</v>
      </c>
      <c r="F7" s="121">
        <v>5.6</v>
      </c>
      <c r="G7" s="121"/>
      <c r="H7" s="122"/>
      <c r="I7" s="122"/>
      <c r="J7" s="122"/>
      <c r="K7" s="122"/>
      <c r="L7" s="122"/>
      <c r="M7" s="123">
        <v>31.2</v>
      </c>
      <c r="N7" s="122"/>
      <c r="O7" s="124"/>
    </row>
    <row r="8" spans="2:15" x14ac:dyDescent="0.25">
      <c r="B8" s="118">
        <v>205</v>
      </c>
      <c r="C8" s="119" t="s">
        <v>65</v>
      </c>
      <c r="D8" s="120">
        <v>18.7</v>
      </c>
      <c r="E8" s="118"/>
      <c r="F8" s="121"/>
      <c r="G8" s="121"/>
      <c r="H8" s="122"/>
      <c r="I8" s="122"/>
      <c r="J8" s="122"/>
      <c r="K8" s="122"/>
      <c r="L8" s="122">
        <v>21.6</v>
      </c>
      <c r="M8" s="123"/>
      <c r="N8" s="122">
        <v>2.7</v>
      </c>
      <c r="O8" s="124"/>
    </row>
    <row r="9" spans="2:15" x14ac:dyDescent="0.25">
      <c r="B9" s="125">
        <v>206</v>
      </c>
      <c r="C9" s="126" t="s">
        <v>17</v>
      </c>
      <c r="D9" s="124">
        <v>4.9000000000000004</v>
      </c>
      <c r="E9" s="125"/>
      <c r="F9" s="121"/>
      <c r="G9" s="121"/>
      <c r="H9" s="122"/>
      <c r="I9" s="122"/>
      <c r="J9" s="122"/>
      <c r="K9" s="122">
        <v>6.2</v>
      </c>
      <c r="L9" s="122"/>
      <c r="M9" s="123"/>
      <c r="N9" s="122"/>
      <c r="O9" s="124"/>
    </row>
    <row r="10" spans="2:15" x14ac:dyDescent="0.25">
      <c r="B10" s="118">
        <v>207</v>
      </c>
      <c r="C10" s="119" t="s">
        <v>66</v>
      </c>
      <c r="D10" s="120">
        <v>22.3</v>
      </c>
      <c r="E10" s="118">
        <v>22.5</v>
      </c>
      <c r="F10" s="121">
        <v>0.6</v>
      </c>
      <c r="G10" s="121"/>
      <c r="H10" s="122"/>
      <c r="I10" s="122"/>
      <c r="J10" s="122"/>
      <c r="K10" s="122"/>
      <c r="L10" s="122"/>
      <c r="M10" s="123">
        <v>17</v>
      </c>
      <c r="N10" s="122"/>
      <c r="O10" s="124"/>
    </row>
    <row r="11" spans="2:15" x14ac:dyDescent="0.25">
      <c r="B11" s="118">
        <v>208</v>
      </c>
      <c r="C11" s="119" t="s">
        <v>67</v>
      </c>
      <c r="D11" s="120">
        <v>37.6</v>
      </c>
      <c r="E11" s="118">
        <v>38.200000000000003</v>
      </c>
      <c r="F11" s="121">
        <v>1.8</v>
      </c>
      <c r="G11" s="121"/>
      <c r="H11" s="122"/>
      <c r="I11" s="122"/>
      <c r="J11" s="122"/>
      <c r="K11" s="122"/>
      <c r="L11" s="122"/>
      <c r="M11" s="123">
        <v>20.2</v>
      </c>
      <c r="N11" s="122"/>
      <c r="O11" s="124"/>
    </row>
    <row r="12" spans="2:15" x14ac:dyDescent="0.25">
      <c r="B12" s="118">
        <v>209</v>
      </c>
      <c r="C12" s="119" t="s">
        <v>22</v>
      </c>
      <c r="D12" s="120">
        <v>12.7</v>
      </c>
      <c r="E12" s="118">
        <v>12.9</v>
      </c>
      <c r="F12" s="121"/>
      <c r="G12" s="121"/>
      <c r="H12" s="122"/>
      <c r="I12" s="122"/>
      <c r="J12" s="122"/>
      <c r="K12" s="122"/>
      <c r="L12" s="122"/>
      <c r="M12" s="123">
        <v>13</v>
      </c>
      <c r="N12" s="122"/>
      <c r="O12" s="124"/>
    </row>
    <row r="13" spans="2:15" x14ac:dyDescent="0.25">
      <c r="B13" s="118">
        <v>210</v>
      </c>
      <c r="C13" s="119" t="s">
        <v>23</v>
      </c>
      <c r="D13" s="120">
        <v>2.7</v>
      </c>
      <c r="E13" s="118"/>
      <c r="F13" s="121"/>
      <c r="G13" s="121"/>
      <c r="H13" s="122"/>
      <c r="I13" s="122"/>
      <c r="J13" s="122"/>
      <c r="K13" s="122">
        <v>3.6</v>
      </c>
      <c r="L13" s="122"/>
      <c r="M13" s="123"/>
      <c r="N13" s="122"/>
      <c r="O13" s="124"/>
    </row>
    <row r="14" spans="2:15" x14ac:dyDescent="0.25">
      <c r="B14" s="125">
        <v>211</v>
      </c>
      <c r="C14" s="119" t="s">
        <v>17</v>
      </c>
      <c r="D14" s="120">
        <v>2.5</v>
      </c>
      <c r="E14" s="118"/>
      <c r="F14" s="121"/>
      <c r="G14" s="121"/>
      <c r="H14" s="122"/>
      <c r="I14" s="122"/>
      <c r="J14" s="122"/>
      <c r="K14" s="122">
        <v>3.6</v>
      </c>
      <c r="L14" s="122"/>
      <c r="M14" s="123"/>
      <c r="N14" s="122"/>
      <c r="O14" s="124"/>
    </row>
    <row r="15" spans="2:15" x14ac:dyDescent="0.25">
      <c r="B15" s="118">
        <v>212</v>
      </c>
      <c r="C15" s="119" t="s">
        <v>24</v>
      </c>
      <c r="D15" s="120">
        <v>8.1</v>
      </c>
      <c r="E15" s="118"/>
      <c r="F15" s="121"/>
      <c r="G15" s="121"/>
      <c r="H15" s="122"/>
      <c r="I15" s="122"/>
      <c r="J15" s="122"/>
      <c r="K15" s="122"/>
      <c r="L15" s="122">
        <v>10.8</v>
      </c>
      <c r="M15" s="123"/>
      <c r="N15" s="122">
        <v>1.71</v>
      </c>
      <c r="O15" s="124"/>
    </row>
    <row r="16" spans="2:15" x14ac:dyDescent="0.25">
      <c r="B16" s="118">
        <v>213</v>
      </c>
      <c r="C16" s="119" t="s">
        <v>11</v>
      </c>
      <c r="D16" s="120">
        <v>24.1</v>
      </c>
      <c r="E16" s="118">
        <v>37</v>
      </c>
      <c r="F16" s="121">
        <v>3.1</v>
      </c>
      <c r="G16" s="121"/>
      <c r="H16" s="122"/>
      <c r="I16" s="122"/>
      <c r="J16" s="122"/>
      <c r="K16" s="122"/>
      <c r="L16" s="122"/>
      <c r="M16" s="123">
        <v>17.5</v>
      </c>
      <c r="N16" s="122"/>
      <c r="O16" s="124"/>
    </row>
    <row r="17" spans="2:15" x14ac:dyDescent="0.25">
      <c r="B17" s="118">
        <v>214</v>
      </c>
      <c r="C17" s="119" t="s">
        <v>68</v>
      </c>
      <c r="D17" s="120">
        <v>14.5</v>
      </c>
      <c r="E17" s="118"/>
      <c r="F17" s="121"/>
      <c r="G17" s="121">
        <v>14.6</v>
      </c>
      <c r="H17" s="122"/>
      <c r="I17" s="122"/>
      <c r="J17" s="122"/>
      <c r="K17" s="122"/>
      <c r="L17" s="122"/>
      <c r="M17" s="123"/>
      <c r="N17" s="122"/>
      <c r="O17" s="124"/>
    </row>
    <row r="18" spans="2:15" x14ac:dyDescent="0.25">
      <c r="B18" s="118">
        <v>215</v>
      </c>
      <c r="C18" s="119" t="s">
        <v>69</v>
      </c>
      <c r="D18" s="120">
        <v>48.5</v>
      </c>
      <c r="E18" s="118">
        <v>48.9</v>
      </c>
      <c r="F18" s="121"/>
      <c r="G18" s="121"/>
      <c r="H18" s="122"/>
      <c r="I18" s="122"/>
      <c r="J18" s="122"/>
      <c r="K18" s="122"/>
      <c r="L18" s="122"/>
      <c r="M18" s="123">
        <v>27</v>
      </c>
      <c r="N18" s="122"/>
      <c r="O18" s="124"/>
    </row>
    <row r="19" spans="2:15" x14ac:dyDescent="0.25">
      <c r="B19" s="125">
        <v>216</v>
      </c>
      <c r="C19" s="119" t="s">
        <v>70</v>
      </c>
      <c r="D19" s="120">
        <v>73.8</v>
      </c>
      <c r="E19" s="118">
        <v>74.3</v>
      </c>
      <c r="F19" s="121">
        <v>3.1</v>
      </c>
      <c r="G19" s="121"/>
      <c r="H19" s="122"/>
      <c r="I19" s="122"/>
      <c r="J19" s="122"/>
      <c r="K19" s="122"/>
      <c r="L19" s="122"/>
      <c r="M19" s="123">
        <v>35.200000000000003</v>
      </c>
      <c r="N19" s="122"/>
      <c r="O19" s="124"/>
    </row>
    <row r="20" spans="2:15" x14ac:dyDescent="0.25">
      <c r="B20" s="118">
        <v>217</v>
      </c>
      <c r="C20" s="119" t="s">
        <v>71</v>
      </c>
      <c r="D20" s="120">
        <v>22.7</v>
      </c>
      <c r="E20" s="118">
        <v>23.2</v>
      </c>
      <c r="F20" s="121">
        <v>1.4</v>
      </c>
      <c r="G20" s="121"/>
      <c r="H20" s="122"/>
      <c r="I20" s="122"/>
      <c r="J20" s="122"/>
      <c r="K20" s="122"/>
      <c r="L20" s="122"/>
      <c r="M20" s="123">
        <v>18.3</v>
      </c>
      <c r="N20" s="122"/>
      <c r="O20" s="124"/>
    </row>
    <row r="21" spans="2:15" x14ac:dyDescent="0.25">
      <c r="B21" s="118">
        <v>218</v>
      </c>
      <c r="C21" s="119" t="s">
        <v>72</v>
      </c>
      <c r="D21" s="120">
        <v>50</v>
      </c>
      <c r="E21" s="118">
        <v>50.5</v>
      </c>
      <c r="F21" s="121"/>
      <c r="G21" s="121"/>
      <c r="H21" s="122"/>
      <c r="I21" s="122"/>
      <c r="J21" s="122"/>
      <c r="K21" s="122"/>
      <c r="L21" s="122"/>
      <c r="M21" s="123">
        <v>25.6</v>
      </c>
      <c r="N21" s="122"/>
      <c r="O21" s="124"/>
    </row>
    <row r="22" spans="2:15" x14ac:dyDescent="0.25">
      <c r="B22" s="118">
        <v>219</v>
      </c>
      <c r="C22" s="119" t="s">
        <v>73</v>
      </c>
      <c r="D22" s="120">
        <v>73.8</v>
      </c>
      <c r="E22" s="118">
        <v>74.3</v>
      </c>
      <c r="F22" s="121">
        <v>3.5</v>
      </c>
      <c r="G22" s="121"/>
      <c r="H22" s="122"/>
      <c r="I22" s="122"/>
      <c r="J22" s="122"/>
      <c r="K22" s="122"/>
      <c r="L22" s="122"/>
      <c r="M22" s="123">
        <v>34.299999999999997</v>
      </c>
      <c r="N22" s="122"/>
      <c r="O22" s="124"/>
    </row>
    <row r="23" spans="2:15" x14ac:dyDescent="0.25">
      <c r="B23" s="118">
        <v>220</v>
      </c>
      <c r="C23" s="119" t="s">
        <v>74</v>
      </c>
      <c r="D23" s="120">
        <v>22.2</v>
      </c>
      <c r="E23" s="118">
        <v>22.5</v>
      </c>
      <c r="F23" s="121">
        <v>2.8</v>
      </c>
      <c r="G23" s="121"/>
      <c r="H23" s="122"/>
      <c r="I23" s="122"/>
      <c r="J23" s="122"/>
      <c r="K23" s="122"/>
      <c r="L23" s="122"/>
      <c r="M23" s="123">
        <v>16.2</v>
      </c>
      <c r="N23" s="122"/>
      <c r="O23" s="124"/>
    </row>
    <row r="24" spans="2:15" x14ac:dyDescent="0.25">
      <c r="B24" s="125">
        <v>221</v>
      </c>
      <c r="C24" s="119" t="s">
        <v>75</v>
      </c>
      <c r="D24" s="120">
        <v>33.200000000000003</v>
      </c>
      <c r="E24" s="118"/>
      <c r="F24" s="121"/>
      <c r="G24" s="121">
        <v>33.4</v>
      </c>
      <c r="H24" s="122"/>
      <c r="I24" s="122"/>
      <c r="J24" s="122"/>
      <c r="K24" s="122"/>
      <c r="L24" s="122"/>
      <c r="M24" s="123"/>
      <c r="N24" s="122"/>
      <c r="O24" s="124"/>
    </row>
    <row r="25" spans="2:15" x14ac:dyDescent="0.25">
      <c r="B25" s="118">
        <v>222</v>
      </c>
      <c r="C25" s="119" t="s">
        <v>76</v>
      </c>
      <c r="D25" s="120">
        <v>21.9</v>
      </c>
      <c r="E25" s="118">
        <v>22.3</v>
      </c>
      <c r="F25" s="121">
        <v>1.5</v>
      </c>
      <c r="G25" s="121"/>
      <c r="H25" s="122"/>
      <c r="I25" s="122"/>
      <c r="J25" s="122"/>
      <c r="K25" s="122"/>
      <c r="L25" s="122"/>
      <c r="M25" s="123">
        <v>16.7</v>
      </c>
      <c r="N25" s="122"/>
      <c r="O25" s="124"/>
    </row>
    <row r="26" spans="2:15" x14ac:dyDescent="0.25">
      <c r="B26" s="118">
        <v>223</v>
      </c>
      <c r="C26" s="119" t="s">
        <v>78</v>
      </c>
      <c r="D26" s="120">
        <v>73.8</v>
      </c>
      <c r="E26" s="118">
        <v>74.3</v>
      </c>
      <c r="F26" s="121">
        <v>3.1</v>
      </c>
      <c r="G26" s="121"/>
      <c r="H26" s="122"/>
      <c r="I26" s="122"/>
      <c r="J26" s="122"/>
      <c r="K26" s="122"/>
      <c r="L26" s="122"/>
      <c r="M26" s="123">
        <v>33.700000000000003</v>
      </c>
      <c r="N26" s="122"/>
      <c r="O26" s="124"/>
    </row>
    <row r="27" spans="2:15" x14ac:dyDescent="0.25">
      <c r="B27" s="118">
        <v>224</v>
      </c>
      <c r="C27" s="119" t="s">
        <v>77</v>
      </c>
      <c r="D27" s="120">
        <v>59.4</v>
      </c>
      <c r="E27" s="118">
        <v>59.7</v>
      </c>
      <c r="F27" s="121"/>
      <c r="G27" s="121"/>
      <c r="H27" s="122"/>
      <c r="I27" s="122"/>
      <c r="J27" s="122"/>
      <c r="K27" s="122"/>
      <c r="L27" s="122"/>
      <c r="M27" s="123">
        <v>29.3</v>
      </c>
      <c r="N27" s="122"/>
      <c r="O27" s="124"/>
    </row>
    <row r="28" spans="2:15" x14ac:dyDescent="0.25">
      <c r="B28" s="118">
        <v>225</v>
      </c>
      <c r="C28" s="119" t="s">
        <v>79</v>
      </c>
      <c r="D28" s="120">
        <v>59.4</v>
      </c>
      <c r="E28" s="118">
        <v>59.7</v>
      </c>
      <c r="F28" s="121"/>
      <c r="G28" s="121"/>
      <c r="H28" s="122"/>
      <c r="I28" s="122"/>
      <c r="J28" s="122"/>
      <c r="K28" s="122"/>
      <c r="L28" s="122"/>
      <c r="M28" s="123">
        <v>29.3</v>
      </c>
      <c r="N28" s="122"/>
      <c r="O28" s="124"/>
    </row>
    <row r="29" spans="2:15" x14ac:dyDescent="0.25">
      <c r="B29" s="125">
        <v>226</v>
      </c>
      <c r="C29" s="119" t="s">
        <v>80</v>
      </c>
      <c r="D29" s="120">
        <v>73.8</v>
      </c>
      <c r="E29" s="118">
        <v>74.3</v>
      </c>
      <c r="F29" s="121">
        <v>3.1</v>
      </c>
      <c r="G29" s="121"/>
      <c r="H29" s="122"/>
      <c r="I29" s="122"/>
      <c r="J29" s="122"/>
      <c r="K29" s="122"/>
      <c r="L29" s="122"/>
      <c r="M29" s="123">
        <v>33.700000000000003</v>
      </c>
      <c r="N29" s="122"/>
      <c r="O29" s="124"/>
    </row>
    <row r="30" spans="2:15" x14ac:dyDescent="0.25">
      <c r="B30" s="118">
        <v>227</v>
      </c>
      <c r="C30" s="119" t="s">
        <v>81</v>
      </c>
      <c r="D30" s="120">
        <v>21.9</v>
      </c>
      <c r="E30" s="118">
        <v>22.3</v>
      </c>
      <c r="F30" s="121">
        <v>1.5</v>
      </c>
      <c r="G30" s="121"/>
      <c r="H30" s="122"/>
      <c r="I30" s="122"/>
      <c r="J30" s="122"/>
      <c r="K30" s="122"/>
      <c r="L30" s="122"/>
      <c r="M30" s="123">
        <v>16.3</v>
      </c>
      <c r="N30" s="122"/>
      <c r="O30" s="124"/>
    </row>
    <row r="31" spans="2:15" x14ac:dyDescent="0.25">
      <c r="B31" s="118">
        <v>228</v>
      </c>
      <c r="C31" s="119" t="s">
        <v>82</v>
      </c>
      <c r="D31" s="120">
        <v>33.200000000000003</v>
      </c>
      <c r="E31" s="118"/>
      <c r="F31" s="121"/>
      <c r="G31" s="121">
        <v>33.6</v>
      </c>
      <c r="H31" s="122"/>
      <c r="I31" s="122"/>
      <c r="J31" s="122"/>
      <c r="K31" s="122"/>
      <c r="L31" s="122"/>
      <c r="M31" s="123"/>
      <c r="N31" s="122"/>
      <c r="O31" s="124"/>
    </row>
    <row r="32" spans="2:15" x14ac:dyDescent="0.25">
      <c r="B32" s="118">
        <v>229</v>
      </c>
      <c r="C32" s="119" t="s">
        <v>83</v>
      </c>
      <c r="D32" s="120">
        <v>22.2</v>
      </c>
      <c r="E32" s="118">
        <v>22.5</v>
      </c>
      <c r="F32" s="121">
        <v>2.9</v>
      </c>
      <c r="G32" s="121"/>
      <c r="H32" s="122"/>
      <c r="I32" s="122"/>
      <c r="J32" s="122"/>
      <c r="K32" s="122"/>
      <c r="L32" s="122"/>
      <c r="M32" s="123">
        <v>16.100000000000001</v>
      </c>
      <c r="N32" s="122"/>
      <c r="O32" s="124"/>
    </row>
    <row r="33" spans="2:15" x14ac:dyDescent="0.25">
      <c r="B33" s="118">
        <v>230</v>
      </c>
      <c r="C33" s="119" t="s">
        <v>84</v>
      </c>
      <c r="D33" s="120">
        <v>73.8</v>
      </c>
      <c r="E33" s="118">
        <v>74.3</v>
      </c>
      <c r="F33" s="121">
        <v>3.1</v>
      </c>
      <c r="G33" s="121"/>
      <c r="H33" s="122"/>
      <c r="I33" s="122"/>
      <c r="J33" s="122"/>
      <c r="K33" s="122"/>
      <c r="L33" s="122"/>
      <c r="M33" s="123">
        <v>34.299999999999997</v>
      </c>
      <c r="N33" s="122"/>
      <c r="O33" s="124"/>
    </row>
    <row r="34" spans="2:15" x14ac:dyDescent="0.25">
      <c r="B34" s="125">
        <v>231</v>
      </c>
      <c r="C34" s="119" t="s">
        <v>85</v>
      </c>
      <c r="D34" s="120">
        <v>50</v>
      </c>
      <c r="E34" s="118">
        <v>50.5</v>
      </c>
      <c r="F34" s="121"/>
      <c r="G34" s="121"/>
      <c r="H34" s="122"/>
      <c r="I34" s="122"/>
      <c r="J34" s="122"/>
      <c r="K34" s="122"/>
      <c r="L34" s="122"/>
      <c r="M34" s="123">
        <v>25.9</v>
      </c>
      <c r="N34" s="122"/>
      <c r="O34" s="124"/>
    </row>
    <row r="35" spans="2:15" x14ac:dyDescent="0.25">
      <c r="B35" s="118">
        <v>232</v>
      </c>
      <c r="C35" s="119" t="s">
        <v>86</v>
      </c>
      <c r="D35" s="120">
        <v>22.7</v>
      </c>
      <c r="E35" s="118">
        <v>23.2</v>
      </c>
      <c r="F35" s="121">
        <v>1.4</v>
      </c>
      <c r="G35" s="121"/>
      <c r="H35" s="122"/>
      <c r="I35" s="122"/>
      <c r="J35" s="122"/>
      <c r="K35" s="122"/>
      <c r="L35" s="122"/>
      <c r="M35" s="123">
        <v>16.5</v>
      </c>
      <c r="N35" s="122"/>
      <c r="O35" s="124"/>
    </row>
    <row r="36" spans="2:15" x14ac:dyDescent="0.25">
      <c r="B36" s="118">
        <v>233</v>
      </c>
      <c r="C36" s="119" t="s">
        <v>87</v>
      </c>
      <c r="D36" s="120">
        <v>73.8</v>
      </c>
      <c r="E36" s="118">
        <v>74.3</v>
      </c>
      <c r="F36" s="121">
        <v>3.5</v>
      </c>
      <c r="G36" s="121"/>
      <c r="H36" s="122"/>
      <c r="I36" s="122"/>
      <c r="J36" s="122"/>
      <c r="K36" s="122"/>
      <c r="L36" s="122"/>
      <c r="M36" s="123">
        <v>35.200000000000003</v>
      </c>
      <c r="N36" s="122"/>
      <c r="O36" s="124"/>
    </row>
    <row r="37" spans="2:15" x14ac:dyDescent="0.25">
      <c r="B37" s="118">
        <v>234</v>
      </c>
      <c r="C37" s="119" t="s">
        <v>88</v>
      </c>
      <c r="D37" s="120">
        <v>48.5</v>
      </c>
      <c r="E37" s="118">
        <v>48.9</v>
      </c>
      <c r="F37" s="121"/>
      <c r="G37" s="121"/>
      <c r="H37" s="122"/>
      <c r="I37" s="122"/>
      <c r="J37" s="122"/>
      <c r="K37" s="122"/>
      <c r="L37" s="122"/>
      <c r="M37" s="123">
        <v>27</v>
      </c>
      <c r="N37" s="122"/>
      <c r="O37" s="124"/>
    </row>
    <row r="38" spans="2:15" x14ac:dyDescent="0.25">
      <c r="B38" s="118">
        <v>235</v>
      </c>
      <c r="C38" s="119" t="s">
        <v>89</v>
      </c>
      <c r="D38" s="120">
        <v>14.6</v>
      </c>
      <c r="E38" s="118"/>
      <c r="F38" s="121"/>
      <c r="G38" s="121">
        <v>14.7</v>
      </c>
      <c r="H38" s="122"/>
      <c r="I38" s="122"/>
      <c r="J38" s="122"/>
      <c r="K38" s="122"/>
      <c r="L38" s="122"/>
      <c r="M38" s="123"/>
      <c r="N38" s="122"/>
      <c r="O38" s="124"/>
    </row>
    <row r="39" spans="2:15" x14ac:dyDescent="0.25">
      <c r="B39" s="125">
        <v>236</v>
      </c>
      <c r="C39" s="119" t="s">
        <v>11</v>
      </c>
      <c r="D39" s="120">
        <v>25.2</v>
      </c>
      <c r="E39" s="118">
        <v>38</v>
      </c>
      <c r="F39" s="121">
        <v>1.6</v>
      </c>
      <c r="G39" s="121"/>
      <c r="H39" s="122"/>
      <c r="I39" s="122"/>
      <c r="J39" s="122"/>
      <c r="K39" s="122"/>
      <c r="L39" s="122"/>
      <c r="M39" s="123">
        <v>18</v>
      </c>
      <c r="N39" s="122"/>
      <c r="O39" s="124"/>
    </row>
    <row r="40" spans="2:15" x14ac:dyDescent="0.25">
      <c r="B40" s="118">
        <v>237</v>
      </c>
      <c r="C40" s="119" t="s">
        <v>90</v>
      </c>
      <c r="D40" s="120">
        <v>23.8</v>
      </c>
      <c r="E40" s="118">
        <v>23.7</v>
      </c>
      <c r="F40" s="121"/>
      <c r="G40" s="121"/>
      <c r="H40" s="122"/>
      <c r="I40" s="122"/>
      <c r="J40" s="122"/>
      <c r="K40" s="122"/>
      <c r="L40" s="122"/>
      <c r="M40" s="123">
        <v>18.5</v>
      </c>
      <c r="N40" s="122"/>
      <c r="O40" s="124"/>
    </row>
    <row r="41" spans="2:15" x14ac:dyDescent="0.25">
      <c r="B41" s="118">
        <v>238</v>
      </c>
      <c r="C41" s="119" t="s">
        <v>91</v>
      </c>
      <c r="D41" s="120">
        <v>22.2</v>
      </c>
      <c r="E41" s="118">
        <v>22.3</v>
      </c>
      <c r="F41" s="121"/>
      <c r="G41" s="121"/>
      <c r="H41" s="122"/>
      <c r="I41" s="122"/>
      <c r="J41" s="122"/>
      <c r="K41" s="122"/>
      <c r="L41" s="122"/>
      <c r="M41" s="123">
        <v>20.2</v>
      </c>
      <c r="N41" s="122"/>
      <c r="O41" s="124"/>
    </row>
    <row r="42" spans="2:15" x14ac:dyDescent="0.25">
      <c r="B42" s="118">
        <v>239</v>
      </c>
      <c r="C42" s="119" t="s">
        <v>17</v>
      </c>
      <c r="D42" s="120">
        <v>5.0999999999999996</v>
      </c>
      <c r="E42" s="118"/>
      <c r="F42" s="121"/>
      <c r="G42" s="121"/>
      <c r="H42" s="122"/>
      <c r="I42" s="122"/>
      <c r="J42" s="122"/>
      <c r="K42" s="122">
        <v>6.5</v>
      </c>
      <c r="L42" s="122"/>
      <c r="M42" s="123"/>
      <c r="N42" s="122"/>
      <c r="O42" s="124"/>
    </row>
    <row r="43" spans="2:15" x14ac:dyDescent="0.25">
      <c r="B43" s="118">
        <v>240</v>
      </c>
      <c r="C43" s="119" t="s">
        <v>16</v>
      </c>
      <c r="D43" s="120">
        <v>37.299999999999997</v>
      </c>
      <c r="E43" s="118">
        <v>38.9</v>
      </c>
      <c r="F43" s="121">
        <v>5.2</v>
      </c>
      <c r="G43" s="121"/>
      <c r="H43" s="122"/>
      <c r="I43" s="122"/>
      <c r="J43" s="122"/>
      <c r="K43" s="122"/>
      <c r="L43" s="122"/>
      <c r="M43" s="123">
        <v>32</v>
      </c>
      <c r="N43" s="122"/>
      <c r="O43" s="124"/>
    </row>
    <row r="44" spans="2:15" x14ac:dyDescent="0.25">
      <c r="B44" s="125">
        <v>241</v>
      </c>
      <c r="C44" s="119" t="s">
        <v>92</v>
      </c>
      <c r="D44" s="120">
        <v>18.3</v>
      </c>
      <c r="E44" s="118">
        <v>18.399999999999999</v>
      </c>
      <c r="F44" s="121"/>
      <c r="G44" s="121"/>
      <c r="H44" s="122"/>
      <c r="I44" s="122"/>
      <c r="J44" s="122"/>
      <c r="K44" s="122"/>
      <c r="L44" s="122"/>
      <c r="M44" s="123">
        <v>16.600000000000001</v>
      </c>
      <c r="N44" s="122"/>
      <c r="O44" s="124"/>
    </row>
    <row r="45" spans="2:15" x14ac:dyDescent="0.25">
      <c r="B45" s="118">
        <v>242</v>
      </c>
      <c r="C45" s="119" t="s">
        <v>65</v>
      </c>
      <c r="D45" s="120">
        <v>24.9</v>
      </c>
      <c r="E45" s="118"/>
      <c r="F45" s="121"/>
      <c r="G45" s="121"/>
      <c r="H45" s="122"/>
      <c r="I45" s="122"/>
      <c r="J45" s="122"/>
      <c r="K45" s="122"/>
      <c r="L45" s="122">
        <v>29</v>
      </c>
      <c r="M45" s="123"/>
      <c r="N45" s="122">
        <v>3.15</v>
      </c>
      <c r="O45" s="124"/>
    </row>
    <row r="46" spans="2:15" x14ac:dyDescent="0.25">
      <c r="B46" s="118">
        <v>243</v>
      </c>
      <c r="C46" s="119" t="s">
        <v>11</v>
      </c>
      <c r="D46" s="120">
        <v>2.7</v>
      </c>
      <c r="E46" s="118">
        <v>4.9000000000000004</v>
      </c>
      <c r="F46" s="121"/>
      <c r="G46" s="121"/>
      <c r="H46" s="122"/>
      <c r="I46" s="122"/>
      <c r="J46" s="122"/>
      <c r="K46" s="122"/>
      <c r="L46" s="122"/>
      <c r="M46" s="123">
        <v>6.1</v>
      </c>
      <c r="N46" s="122"/>
      <c r="O46" s="124"/>
    </row>
    <row r="47" spans="2:15" x14ac:dyDescent="0.25">
      <c r="B47" s="118">
        <v>244</v>
      </c>
      <c r="C47" s="119" t="s">
        <v>12</v>
      </c>
      <c r="D47" s="120">
        <v>20.100000000000001</v>
      </c>
      <c r="E47" s="118"/>
      <c r="F47" s="121"/>
      <c r="G47" s="121"/>
      <c r="H47" s="122">
        <v>19.7</v>
      </c>
      <c r="I47" s="122"/>
      <c r="J47" s="122"/>
      <c r="K47" s="122"/>
      <c r="L47" s="122"/>
      <c r="M47" s="123">
        <v>17</v>
      </c>
      <c r="N47" s="122"/>
      <c r="O47" s="124"/>
    </row>
    <row r="48" spans="2:15" x14ac:dyDescent="0.25">
      <c r="B48" s="118">
        <v>245</v>
      </c>
      <c r="C48" s="119" t="s">
        <v>65</v>
      </c>
      <c r="D48" s="120">
        <v>24.9</v>
      </c>
      <c r="E48" s="118"/>
      <c r="F48" s="121"/>
      <c r="G48" s="121"/>
      <c r="H48" s="122"/>
      <c r="I48" s="122"/>
      <c r="J48" s="122"/>
      <c r="K48" s="122"/>
      <c r="L48" s="122">
        <v>27.7</v>
      </c>
      <c r="M48" s="123"/>
      <c r="N48" s="122">
        <v>2.97</v>
      </c>
      <c r="O48" s="124"/>
    </row>
    <row r="49" spans="2:15" x14ac:dyDescent="0.25">
      <c r="B49" s="118">
        <v>246</v>
      </c>
      <c r="C49" s="119" t="s">
        <v>93</v>
      </c>
      <c r="D49" s="120">
        <v>128.69999999999999</v>
      </c>
      <c r="E49" s="118"/>
      <c r="F49" s="121"/>
      <c r="G49" s="121"/>
      <c r="H49" s="122">
        <v>129.30000000000001</v>
      </c>
      <c r="I49" s="122">
        <v>20</v>
      </c>
      <c r="J49" s="122">
        <f>H49</f>
        <v>129.30000000000001</v>
      </c>
      <c r="K49" s="122"/>
      <c r="L49" s="122"/>
      <c r="M49" s="123">
        <v>49</v>
      </c>
      <c r="N49" s="122"/>
      <c r="O49" s="124">
        <f>1.2*2</f>
        <v>2.4</v>
      </c>
    </row>
    <row r="50" spans="2:15" ht="15.75" thickBot="1" x14ac:dyDescent="0.3">
      <c r="B50" s="127">
        <v>247</v>
      </c>
      <c r="C50" s="128" t="s">
        <v>94</v>
      </c>
      <c r="D50" s="129">
        <v>16.2</v>
      </c>
      <c r="E50" s="130">
        <v>16.3</v>
      </c>
      <c r="F50" s="131">
        <v>0.6</v>
      </c>
      <c r="G50" s="131"/>
      <c r="H50" s="132"/>
      <c r="I50" s="132"/>
      <c r="J50" s="132"/>
      <c r="K50" s="132"/>
      <c r="L50" s="132"/>
      <c r="M50" s="133">
        <v>14.5</v>
      </c>
      <c r="N50" s="132"/>
      <c r="O50" s="134"/>
    </row>
    <row r="51" spans="2:15" s="140" customFormat="1" ht="14.25" x14ac:dyDescent="0.2">
      <c r="B51" s="135"/>
      <c r="C51" s="136" t="s">
        <v>0</v>
      </c>
      <c r="D51" s="137">
        <f t="shared" ref="D51:M51" si="0">SUM(D4:D50)</f>
        <v>1671.8999999999999</v>
      </c>
      <c r="E51" s="86">
        <f t="shared" si="0"/>
        <v>1311.8000000000002</v>
      </c>
      <c r="F51" s="138">
        <f t="shared" si="0"/>
        <v>122.39999999999996</v>
      </c>
      <c r="G51" s="138">
        <f t="shared" si="0"/>
        <v>96.3</v>
      </c>
      <c r="H51" s="90">
        <f t="shared" si="0"/>
        <v>149</v>
      </c>
      <c r="I51" s="90">
        <f t="shared" si="0"/>
        <v>20</v>
      </c>
      <c r="J51" s="90">
        <f>SUM(J48:J50)</f>
        <v>129.30000000000001</v>
      </c>
      <c r="K51" s="90">
        <f t="shared" si="0"/>
        <v>19.899999999999999</v>
      </c>
      <c r="L51" s="90">
        <f t="shared" si="0"/>
        <v>89.100000000000009</v>
      </c>
      <c r="M51" s="139">
        <f t="shared" si="0"/>
        <v>864.1</v>
      </c>
      <c r="N51" s="90">
        <f>SUM(N4:N50)</f>
        <v>10.530000000000001</v>
      </c>
      <c r="O51" s="87">
        <f>SUM(O4:O50)</f>
        <v>10.8</v>
      </c>
    </row>
    <row r="52" spans="2:15" s="140" customFormat="1" thickBot="1" x14ac:dyDescent="0.25">
      <c r="B52" s="141"/>
      <c r="C52" s="142" t="s">
        <v>96</v>
      </c>
      <c r="D52" s="143">
        <f>D51+gridas_1st!D75+'gridas_3 st'!D6</f>
        <v>3484.4999999999995</v>
      </c>
      <c r="E52" s="141">
        <f>E51</f>
        <v>1311.8000000000002</v>
      </c>
      <c r="F52" s="143">
        <f>F51</f>
        <v>122.39999999999996</v>
      </c>
      <c r="G52" s="143">
        <f>G51+gridas_1st!G75</f>
        <v>190.7</v>
      </c>
      <c r="H52" s="144">
        <f>H51</f>
        <v>149</v>
      </c>
      <c r="I52" s="144">
        <f>I51</f>
        <v>20</v>
      </c>
      <c r="J52" s="144">
        <f>J51</f>
        <v>129.30000000000001</v>
      </c>
      <c r="K52" s="144">
        <f>K51+gridas_1st!H75</f>
        <v>56.2</v>
      </c>
      <c r="L52" s="144">
        <f>L51+gridas_1st!I75+'gridas_3 st'!E6</f>
        <v>263.5</v>
      </c>
      <c r="M52" s="145">
        <f>M51+gridas_1st!K75</f>
        <v>1729.8000000000002</v>
      </c>
      <c r="N52" s="144">
        <f>N51+gridas_1st!L75+'gridas_3 st'!F6</f>
        <v>28.35</v>
      </c>
      <c r="O52" s="98">
        <f>O51+gridas_1st!M75</f>
        <v>25.2</v>
      </c>
    </row>
    <row r="53" spans="2:15" ht="7.5" customHeight="1" x14ac:dyDescent="0.25">
      <c r="E53" s="102"/>
      <c r="F53" s="102"/>
      <c r="G53" s="102"/>
      <c r="H53" s="102"/>
      <c r="I53" s="102"/>
      <c r="J53" s="102"/>
      <c r="K53" s="102"/>
      <c r="L53" s="102"/>
      <c r="M53" s="102"/>
    </row>
    <row r="54" spans="2:15" x14ac:dyDescent="0.25">
      <c r="B54" s="146" t="s">
        <v>149</v>
      </c>
      <c r="C54" s="147"/>
      <c r="D54" s="148"/>
      <c r="E54" s="149"/>
      <c r="I54" s="146" t="s">
        <v>150</v>
      </c>
      <c r="J54" s="146"/>
    </row>
    <row r="55" spans="2:15" x14ac:dyDescent="0.25">
      <c r="B55" s="146" t="s">
        <v>151</v>
      </c>
      <c r="C55" s="147"/>
      <c r="D55" s="148"/>
      <c r="E55" s="149"/>
      <c r="I55" s="146"/>
      <c r="J55" s="146" t="s">
        <v>103</v>
      </c>
    </row>
    <row r="56" spans="2:15" x14ac:dyDescent="0.25">
      <c r="B56" s="150"/>
      <c r="C56" s="146" t="s">
        <v>98</v>
      </c>
      <c r="D56" s="148"/>
      <c r="E56" s="149"/>
      <c r="I56" s="146"/>
      <c r="J56" s="146" t="s">
        <v>102</v>
      </c>
    </row>
    <row r="57" spans="2:15" x14ac:dyDescent="0.25">
      <c r="D57" s="148"/>
      <c r="E57" s="149"/>
      <c r="I57" s="146"/>
      <c r="J57" s="146" t="s">
        <v>115</v>
      </c>
    </row>
    <row r="58" spans="2:15" x14ac:dyDescent="0.25">
      <c r="D58" s="148"/>
      <c r="E58" s="149"/>
    </row>
    <row r="59" spans="2:15" x14ac:dyDescent="0.25">
      <c r="D59" s="148"/>
      <c r="E59" s="149"/>
    </row>
  </sheetData>
  <mergeCells count="2">
    <mergeCell ref="E2:L2"/>
    <mergeCell ref="M2:O2"/>
  </mergeCells>
  <pageMargins left="0.7" right="0.7" top="0.75" bottom="0.75" header="0.3" footer="0.3"/>
  <pageSetup paperSize="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="130" zoomScaleNormal="130" workbookViewId="0">
      <selection activeCell="J12" sqref="J12"/>
    </sheetView>
  </sheetViews>
  <sheetFormatPr defaultRowHeight="12.75" x14ac:dyDescent="0.2"/>
  <cols>
    <col min="1" max="1" width="2.7109375" style="153" customWidth="1"/>
    <col min="2" max="2" width="7.5703125" style="153" customWidth="1"/>
    <col min="3" max="3" width="16.85546875" style="153" customWidth="1"/>
    <col min="4" max="4" width="10.42578125" style="153" bestFit="1" customWidth="1"/>
    <col min="5" max="5" width="9.140625" style="153" customWidth="1"/>
    <col min="6" max="6" width="9.85546875" style="153" customWidth="1"/>
    <col min="7" max="16384" width="9.140625" style="153"/>
  </cols>
  <sheetData>
    <row r="1" spans="1:6" ht="13.5" thickBot="1" x14ac:dyDescent="0.25">
      <c r="A1" s="151"/>
      <c r="B1" s="152"/>
      <c r="C1" s="151"/>
      <c r="D1" s="152"/>
      <c r="E1" s="151"/>
    </row>
    <row r="2" spans="1:6" ht="16.5" thickBot="1" x14ac:dyDescent="0.25">
      <c r="A2" s="151"/>
      <c r="B2" s="154"/>
      <c r="C2" s="155"/>
      <c r="D2" s="154"/>
      <c r="E2" s="619" t="s">
        <v>153</v>
      </c>
      <c r="F2" s="620"/>
    </row>
    <row r="3" spans="1:6" ht="191.25" customHeight="1" thickBot="1" x14ac:dyDescent="0.25">
      <c r="A3" s="151"/>
      <c r="B3" s="156" t="s">
        <v>5</v>
      </c>
      <c r="C3" s="157" t="s">
        <v>3</v>
      </c>
      <c r="D3" s="158" t="s">
        <v>154</v>
      </c>
      <c r="E3" s="159" t="s">
        <v>155</v>
      </c>
      <c r="F3" s="160" t="s">
        <v>156</v>
      </c>
    </row>
    <row r="4" spans="1:6" x14ac:dyDescent="0.2">
      <c r="A4" s="151"/>
      <c r="B4" s="161">
        <v>301</v>
      </c>
      <c r="C4" s="162" t="s">
        <v>11</v>
      </c>
      <c r="D4" s="163">
        <v>10</v>
      </c>
      <c r="E4" s="164">
        <v>15.2</v>
      </c>
      <c r="F4" s="165">
        <v>2.0699999999999998</v>
      </c>
    </row>
    <row r="5" spans="1:6" ht="13.5" thickBot="1" x14ac:dyDescent="0.25">
      <c r="A5" s="151"/>
      <c r="B5" s="166">
        <v>302</v>
      </c>
      <c r="C5" s="167" t="s">
        <v>95</v>
      </c>
      <c r="D5" s="168">
        <v>16.2</v>
      </c>
      <c r="E5" s="169">
        <v>17.899999999999999</v>
      </c>
      <c r="F5" s="170">
        <v>2.25</v>
      </c>
    </row>
    <row r="6" spans="1:6" x14ac:dyDescent="0.2">
      <c r="B6" s="171"/>
      <c r="C6" s="172" t="s">
        <v>0</v>
      </c>
      <c r="D6" s="173">
        <f>SUM(D4:D5)</f>
        <v>26.2</v>
      </c>
      <c r="E6" s="174">
        <f>SUM(E4:E5)</f>
        <v>33.099999999999994</v>
      </c>
      <c r="F6" s="175">
        <f>SUM(F4:F5)</f>
        <v>4.32</v>
      </c>
    </row>
    <row r="7" spans="1:6" ht="13.5" thickBot="1" x14ac:dyDescent="0.25">
      <c r="B7" s="176"/>
      <c r="C7" s="177" t="s">
        <v>96</v>
      </c>
      <c r="D7" s="178">
        <f>D6+gridas_1st!D75+gridas_2st!D51</f>
        <v>3484.5</v>
      </c>
      <c r="E7" s="179">
        <f>E6+gridas_2st!L51+gridas_1st!I75</f>
        <v>263.5</v>
      </c>
      <c r="F7" s="180">
        <f>F6+gridas_2st!N51+gridas_1st!L75</f>
        <v>28.35</v>
      </c>
    </row>
    <row r="9" spans="1:6" ht="13.5" x14ac:dyDescent="0.25">
      <c r="B9" s="181" t="s">
        <v>157</v>
      </c>
      <c r="C9" s="182"/>
      <c r="D9" s="183"/>
      <c r="E9" s="184"/>
    </row>
    <row r="10" spans="1:6" ht="13.5" x14ac:dyDescent="0.25">
      <c r="B10" s="181" t="s">
        <v>158</v>
      </c>
      <c r="C10" s="182"/>
      <c r="D10" s="183"/>
      <c r="E10" s="184"/>
    </row>
    <row r="11" spans="1:6" x14ac:dyDescent="0.2">
      <c r="B11" s="185"/>
      <c r="C11" s="181" t="s">
        <v>98</v>
      </c>
      <c r="D11" s="183"/>
      <c r="E11" s="184"/>
    </row>
    <row r="12" spans="1:6" ht="13.5" x14ac:dyDescent="0.25">
      <c r="B12" s="181" t="s">
        <v>159</v>
      </c>
      <c r="C12" s="181"/>
      <c r="D12" s="183"/>
      <c r="E12" s="184"/>
    </row>
    <row r="13" spans="1:6" x14ac:dyDescent="0.2">
      <c r="B13" s="181"/>
      <c r="C13" s="181" t="s">
        <v>103</v>
      </c>
      <c r="D13" s="183"/>
      <c r="E13" s="184"/>
    </row>
    <row r="14" spans="1:6" x14ac:dyDescent="0.2">
      <c r="B14" s="181"/>
      <c r="C14" s="181" t="s">
        <v>102</v>
      </c>
      <c r="D14" s="183"/>
      <c r="E14" s="184"/>
    </row>
    <row r="15" spans="1:6" x14ac:dyDescent="0.2">
      <c r="B15" s="181"/>
      <c r="C15" s="181" t="s">
        <v>115</v>
      </c>
      <c r="D15" s="152"/>
      <c r="E15" s="151"/>
    </row>
  </sheetData>
  <mergeCells count="1">
    <mergeCell ref="E2:F2"/>
  </mergeCells>
  <pageMargins left="0.7" right="0.7" top="0.75" bottom="0.75" header="0.3" footer="0.3"/>
  <pageSetup paperSize="271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83"/>
  <sheetViews>
    <sheetView zoomScale="55" zoomScaleNormal="55" workbookViewId="0">
      <pane ySplit="3" topLeftCell="A4" activePane="bottomLeft" state="frozen"/>
      <selection pane="bottomLeft" activeCell="AB49" sqref="AB49"/>
    </sheetView>
  </sheetViews>
  <sheetFormatPr defaultRowHeight="15" x14ac:dyDescent="0.25"/>
  <cols>
    <col min="1" max="1" width="2.28515625" style="103" customWidth="1"/>
    <col min="2" max="2" width="6.140625" style="102" customWidth="1"/>
    <col min="3" max="3" width="28.140625" style="103" customWidth="1"/>
    <col min="4" max="4" width="10.42578125" style="102" bestFit="1" customWidth="1"/>
    <col min="5" max="9" width="10.42578125" style="102" customWidth="1"/>
    <col min="10" max="10" width="7.5703125" style="102" bestFit="1" customWidth="1"/>
    <col min="11" max="11" width="10.5703125" style="103" bestFit="1" customWidth="1"/>
    <col min="12" max="12" width="10.42578125" style="103" customWidth="1"/>
    <col min="13" max="13" width="10.5703125" style="103" customWidth="1"/>
    <col min="14" max="14" width="4" style="103" bestFit="1" customWidth="1"/>
    <col min="15" max="15" width="7" style="103" bestFit="1" customWidth="1"/>
    <col min="16" max="17" width="4" style="103" bestFit="1" customWidth="1"/>
    <col min="18" max="18" width="5.5703125" style="103" customWidth="1"/>
    <col min="19" max="20" width="7" style="103" bestFit="1" customWidth="1"/>
    <col min="21" max="16384" width="9.140625" style="103"/>
  </cols>
  <sheetData>
    <row r="1" spans="2:20" ht="15.75" thickBot="1" x14ac:dyDescent="0.3"/>
    <row r="2" spans="2:20" ht="18" thickBot="1" x14ac:dyDescent="0.3">
      <c r="E2" s="616" t="s">
        <v>160</v>
      </c>
      <c r="F2" s="617"/>
      <c r="G2" s="617"/>
      <c r="H2" s="617"/>
      <c r="I2" s="617"/>
      <c r="J2" s="617"/>
      <c r="K2" s="617"/>
      <c r="L2" s="617"/>
      <c r="M2" s="617"/>
      <c r="N2" s="617"/>
      <c r="O2" s="617"/>
      <c r="P2" s="617"/>
      <c r="Q2" s="618"/>
      <c r="R2" s="616" t="s">
        <v>17</v>
      </c>
      <c r="S2" s="617"/>
      <c r="T2" s="618"/>
    </row>
    <row r="3" spans="2:20" ht="207.75" customHeight="1" thickBot="1" x14ac:dyDescent="0.3">
      <c r="B3" s="104" t="s">
        <v>5</v>
      </c>
      <c r="C3" s="105" t="s">
        <v>3</v>
      </c>
      <c r="D3" s="186" t="s">
        <v>138</v>
      </c>
      <c r="E3" s="187" t="s">
        <v>161</v>
      </c>
      <c r="F3" s="188" t="s">
        <v>162</v>
      </c>
      <c r="G3" s="188" t="s">
        <v>163</v>
      </c>
      <c r="H3" s="188" t="s">
        <v>164</v>
      </c>
      <c r="I3" s="189" t="s">
        <v>165</v>
      </c>
      <c r="J3" s="190" t="s">
        <v>166</v>
      </c>
      <c r="K3" s="191" t="s">
        <v>167</v>
      </c>
      <c r="L3" s="192" t="s">
        <v>168</v>
      </c>
      <c r="M3" s="192" t="s">
        <v>169</v>
      </c>
      <c r="N3" s="107" t="s">
        <v>170</v>
      </c>
      <c r="O3" s="109" t="s">
        <v>171</v>
      </c>
      <c r="P3" s="109" t="s">
        <v>172</v>
      </c>
      <c r="Q3" s="112" t="s">
        <v>173</v>
      </c>
      <c r="R3" s="193" t="s">
        <v>174</v>
      </c>
      <c r="S3" s="109" t="s">
        <v>175</v>
      </c>
      <c r="T3" s="112" t="s">
        <v>176</v>
      </c>
    </row>
    <row r="4" spans="2:20" x14ac:dyDescent="0.25">
      <c r="B4" s="194">
        <v>101</v>
      </c>
      <c r="C4" s="195" t="s">
        <v>8</v>
      </c>
      <c r="D4" s="83">
        <v>17.899999999999999</v>
      </c>
      <c r="E4" s="82">
        <f>8*3.315+5.13*0.3+1.07*4.2</f>
        <v>32.553000000000004</v>
      </c>
      <c r="F4" s="114"/>
      <c r="G4" s="114"/>
      <c r="H4" s="114"/>
      <c r="I4" s="114"/>
      <c r="J4" s="83"/>
      <c r="K4" s="196"/>
      <c r="L4" s="197"/>
      <c r="M4" s="198"/>
      <c r="N4" s="82"/>
      <c r="O4" s="114"/>
      <c r="P4" s="199"/>
      <c r="Q4" s="83"/>
      <c r="R4" s="200"/>
      <c r="S4" s="199"/>
      <c r="T4" s="201"/>
    </row>
    <row r="5" spans="2:20" x14ac:dyDescent="0.25">
      <c r="B5" s="202">
        <v>102</v>
      </c>
      <c r="C5" s="203" t="s">
        <v>9</v>
      </c>
      <c r="D5" s="120">
        <v>57.6</v>
      </c>
      <c r="E5" s="118">
        <f>36.2*2.78</f>
        <v>100.636</v>
      </c>
      <c r="F5" s="121">
        <f>1.4*2.78</f>
        <v>3.8919999999999995</v>
      </c>
      <c r="G5" s="121"/>
      <c r="H5" s="121"/>
      <c r="I5" s="121"/>
      <c r="J5" s="120"/>
      <c r="K5" s="204"/>
      <c r="L5" s="121"/>
      <c r="M5" s="205"/>
      <c r="N5" s="118"/>
      <c r="O5" s="121"/>
      <c r="P5" s="205"/>
      <c r="Q5" s="120"/>
      <c r="R5" s="206"/>
      <c r="S5" s="205"/>
      <c r="T5" s="207"/>
    </row>
    <row r="6" spans="2:20" x14ac:dyDescent="0.25">
      <c r="B6" s="202">
        <v>103</v>
      </c>
      <c r="C6" s="203" t="s">
        <v>10</v>
      </c>
      <c r="D6" s="120">
        <v>141.69999999999999</v>
      </c>
      <c r="E6" s="118">
        <f>24.4*4.74</f>
        <v>115.65599999999999</v>
      </c>
      <c r="F6" s="121"/>
      <c r="G6" s="121"/>
      <c r="H6" s="121"/>
      <c r="I6" s="121"/>
      <c r="J6" s="120"/>
      <c r="K6" s="204"/>
      <c r="L6" s="121"/>
      <c r="M6" s="205"/>
      <c r="N6" s="118"/>
      <c r="O6" s="121"/>
      <c r="P6" s="205"/>
      <c r="Q6" s="120"/>
      <c r="R6" s="206"/>
      <c r="S6" s="205"/>
      <c r="T6" s="207"/>
    </row>
    <row r="7" spans="2:20" x14ac:dyDescent="0.25">
      <c r="B7" s="202">
        <v>104</v>
      </c>
      <c r="C7" s="203" t="s">
        <v>11</v>
      </c>
      <c r="D7" s="120">
        <v>33.4</v>
      </c>
      <c r="E7" s="118">
        <f>27.4*3.315</f>
        <v>90.830999999999989</v>
      </c>
      <c r="F7" s="121"/>
      <c r="G7" s="121"/>
      <c r="H7" s="121"/>
      <c r="I7" s="121"/>
      <c r="J7" s="120"/>
      <c r="K7" s="204"/>
      <c r="L7" s="121"/>
      <c r="M7" s="205"/>
      <c r="N7" s="118"/>
      <c r="O7" s="121"/>
      <c r="P7" s="205"/>
      <c r="Q7" s="120"/>
      <c r="R7" s="206"/>
      <c r="S7" s="205"/>
      <c r="T7" s="207"/>
    </row>
    <row r="8" spans="2:20" x14ac:dyDescent="0.25">
      <c r="B8" s="202">
        <v>105</v>
      </c>
      <c r="C8" s="203" t="s">
        <v>12</v>
      </c>
      <c r="D8" s="120">
        <v>9.4</v>
      </c>
      <c r="E8" s="118">
        <f>16.8*3.2</f>
        <v>53.760000000000005</v>
      </c>
      <c r="F8" s="121"/>
      <c r="G8" s="121"/>
      <c r="H8" s="121"/>
      <c r="I8" s="121"/>
      <c r="J8" s="120"/>
      <c r="K8" s="204"/>
      <c r="L8" s="121"/>
      <c r="M8" s="205"/>
      <c r="N8" s="118"/>
      <c r="O8" s="121"/>
      <c r="P8" s="205"/>
      <c r="Q8" s="120"/>
      <c r="R8" s="206"/>
      <c r="S8" s="205"/>
      <c r="T8" s="207"/>
    </row>
    <row r="9" spans="2:20" x14ac:dyDescent="0.25">
      <c r="B9" s="202">
        <v>106</v>
      </c>
      <c r="C9" s="203" t="s">
        <v>13</v>
      </c>
      <c r="D9" s="120">
        <v>3.6</v>
      </c>
      <c r="E9" s="118"/>
      <c r="F9" s="121"/>
      <c r="G9" s="121">
        <f>7.5*2.7</f>
        <v>20.25</v>
      </c>
      <c r="H9" s="121"/>
      <c r="I9" s="121"/>
      <c r="J9" s="120"/>
      <c r="K9" s="204"/>
      <c r="L9" s="121"/>
      <c r="M9" s="205"/>
      <c r="N9" s="118"/>
      <c r="O9" s="121"/>
      <c r="P9" s="205"/>
      <c r="Q9" s="120"/>
      <c r="R9" s="206"/>
      <c r="S9" s="205"/>
      <c r="T9" s="207"/>
    </row>
    <row r="10" spans="2:20" x14ac:dyDescent="0.25">
      <c r="B10" s="202">
        <v>107</v>
      </c>
      <c r="C10" s="203" t="s">
        <v>14</v>
      </c>
      <c r="D10" s="120">
        <v>13.1</v>
      </c>
      <c r="E10" s="118">
        <f>9.3*3.2</f>
        <v>29.760000000000005</v>
      </c>
      <c r="F10" s="121">
        <f>5.1*3.2</f>
        <v>16.32</v>
      </c>
      <c r="G10" s="121"/>
      <c r="H10" s="121"/>
      <c r="I10" s="121"/>
      <c r="J10" s="120"/>
      <c r="K10" s="204"/>
      <c r="L10" s="121"/>
      <c r="M10" s="205"/>
      <c r="N10" s="118"/>
      <c r="O10" s="121"/>
      <c r="P10" s="205"/>
      <c r="Q10" s="120"/>
      <c r="R10" s="206"/>
      <c r="S10" s="205"/>
      <c r="T10" s="207"/>
    </row>
    <row r="11" spans="2:20" x14ac:dyDescent="0.25">
      <c r="B11" s="202">
        <v>108</v>
      </c>
      <c r="C11" s="203" t="s">
        <v>15</v>
      </c>
      <c r="D11" s="120">
        <v>19.100000000000001</v>
      </c>
      <c r="E11" s="118">
        <f>5.1*3.2</f>
        <v>16.32</v>
      </c>
      <c r="F11" s="121">
        <f>12.7*3.2</f>
        <v>40.64</v>
      </c>
      <c r="G11" s="121"/>
      <c r="H11" s="121"/>
      <c r="I11" s="121"/>
      <c r="J11" s="120"/>
      <c r="K11" s="204"/>
      <c r="L11" s="121"/>
      <c r="M11" s="205"/>
      <c r="N11" s="118"/>
      <c r="O11" s="121"/>
      <c r="P11" s="205"/>
      <c r="Q11" s="120"/>
      <c r="R11" s="206"/>
      <c r="S11" s="205"/>
      <c r="T11" s="207"/>
    </row>
    <row r="12" spans="2:20" x14ac:dyDescent="0.25">
      <c r="B12" s="202">
        <v>109</v>
      </c>
      <c r="C12" s="203" t="s">
        <v>16</v>
      </c>
      <c r="D12" s="120">
        <v>43.7</v>
      </c>
      <c r="E12" s="118">
        <f>43*2.5</f>
        <v>107.5</v>
      </c>
      <c r="F12" s="121">
        <f>4.7*2.5</f>
        <v>11.75</v>
      </c>
      <c r="G12" s="121"/>
      <c r="H12" s="121"/>
      <c r="I12" s="121"/>
      <c r="J12" s="120">
        <v>1.1000000000000001</v>
      </c>
      <c r="K12" s="204"/>
      <c r="L12" s="121"/>
      <c r="M12" s="205"/>
      <c r="N12" s="118"/>
      <c r="O12" s="121"/>
      <c r="P12" s="205"/>
      <c r="Q12" s="120"/>
      <c r="R12" s="206"/>
      <c r="S12" s="205"/>
      <c r="T12" s="207"/>
    </row>
    <row r="13" spans="2:20" x14ac:dyDescent="0.25">
      <c r="B13" s="202">
        <v>110</v>
      </c>
      <c r="C13" s="203" t="s">
        <v>17</v>
      </c>
      <c r="D13" s="120">
        <v>4.8</v>
      </c>
      <c r="E13" s="118"/>
      <c r="F13" s="121"/>
      <c r="G13" s="121"/>
      <c r="H13" s="121">
        <f>1.7*1.5</f>
        <v>2.5499999999999998</v>
      </c>
      <c r="I13" s="121">
        <f>7.8*1.5</f>
        <v>11.7</v>
      </c>
      <c r="J13" s="120"/>
      <c r="K13" s="208">
        <f>442*0.0238</f>
        <v>10.519600000000001</v>
      </c>
      <c r="L13" s="209">
        <f>12*0.0238</f>
        <v>0.28560000000000002</v>
      </c>
      <c r="M13" s="205"/>
      <c r="N13" s="118"/>
      <c r="O13" s="121">
        <v>1</v>
      </c>
      <c r="P13" s="205"/>
      <c r="Q13" s="120"/>
      <c r="R13" s="206"/>
      <c r="S13" s="205"/>
      <c r="T13" s="207"/>
    </row>
    <row r="14" spans="2:20" x14ac:dyDescent="0.25">
      <c r="B14" s="202">
        <v>111</v>
      </c>
      <c r="C14" s="203" t="s">
        <v>18</v>
      </c>
      <c r="D14" s="120">
        <v>5.8</v>
      </c>
      <c r="E14" s="118"/>
      <c r="F14" s="121"/>
      <c r="G14" s="121">
        <f>9.54*3.2</f>
        <v>30.527999999999999</v>
      </c>
      <c r="H14" s="121"/>
      <c r="I14" s="121"/>
      <c r="J14" s="120"/>
      <c r="K14" s="210"/>
      <c r="L14" s="211"/>
      <c r="M14" s="205"/>
      <c r="N14" s="118"/>
      <c r="O14" s="121"/>
      <c r="P14" s="205"/>
      <c r="Q14" s="120"/>
      <c r="R14" s="206"/>
      <c r="S14" s="205"/>
      <c r="T14" s="207"/>
    </row>
    <row r="15" spans="2:20" x14ac:dyDescent="0.25">
      <c r="B15" s="202">
        <v>112</v>
      </c>
      <c r="C15" s="203" t="s">
        <v>19</v>
      </c>
      <c r="D15" s="120">
        <v>19.5</v>
      </c>
      <c r="E15" s="118">
        <f>11.8*2.7</f>
        <v>31.860000000000003</v>
      </c>
      <c r="F15" s="121">
        <f>9.6*2.7</f>
        <v>25.92</v>
      </c>
      <c r="G15" s="121"/>
      <c r="H15" s="121"/>
      <c r="I15" s="121"/>
      <c r="J15" s="120"/>
      <c r="K15" s="208">
        <f>50*0.0238</f>
        <v>1.1900000000000002</v>
      </c>
      <c r="L15" s="209">
        <f>8*0.0238</f>
        <v>0.19040000000000001</v>
      </c>
      <c r="M15" s="205"/>
      <c r="N15" s="118"/>
      <c r="O15" s="121"/>
      <c r="P15" s="205"/>
      <c r="Q15" s="120"/>
      <c r="R15" s="206"/>
      <c r="S15" s="205"/>
      <c r="T15" s="207"/>
    </row>
    <row r="16" spans="2:20" x14ac:dyDescent="0.25">
      <c r="B16" s="202">
        <v>113</v>
      </c>
      <c r="C16" s="203" t="s">
        <v>20</v>
      </c>
      <c r="D16" s="120">
        <v>6.3</v>
      </c>
      <c r="E16" s="118">
        <f>2.53*2.7</f>
        <v>6.8309999999999995</v>
      </c>
      <c r="F16" s="121">
        <f>7.4*2.7</f>
        <v>19.980000000000004</v>
      </c>
      <c r="G16" s="121"/>
      <c r="H16" s="121"/>
      <c r="I16" s="121"/>
      <c r="J16" s="120"/>
      <c r="K16" s="210"/>
      <c r="L16" s="211"/>
      <c r="M16" s="212"/>
      <c r="N16" s="118"/>
      <c r="O16" s="121"/>
      <c r="P16" s="205"/>
      <c r="Q16" s="120"/>
      <c r="R16" s="206"/>
      <c r="S16" s="205"/>
      <c r="T16" s="207"/>
    </row>
    <row r="17" spans="2:20" x14ac:dyDescent="0.25">
      <c r="B17" s="202">
        <v>114</v>
      </c>
      <c r="C17" s="203" t="s">
        <v>21</v>
      </c>
      <c r="D17" s="120">
        <v>3.6</v>
      </c>
      <c r="E17" s="118"/>
      <c r="F17" s="121"/>
      <c r="G17" s="121"/>
      <c r="H17" s="121">
        <f>7.2*1.5</f>
        <v>10.8</v>
      </c>
      <c r="I17" s="121"/>
      <c r="J17" s="120"/>
      <c r="K17" s="208">
        <f>527*0.0238</f>
        <v>12.5426</v>
      </c>
      <c r="L17" s="209">
        <f>17*0.0238</f>
        <v>0.40460000000000002</v>
      </c>
      <c r="M17" s="212"/>
      <c r="N17" s="118">
        <v>1</v>
      </c>
      <c r="O17" s="121"/>
      <c r="P17" s="205"/>
      <c r="Q17" s="120"/>
      <c r="R17" s="206"/>
      <c r="S17" s="205"/>
      <c r="T17" s="207"/>
    </row>
    <row r="18" spans="2:20" x14ac:dyDescent="0.25">
      <c r="B18" s="202">
        <v>115</v>
      </c>
      <c r="C18" s="203" t="s">
        <v>22</v>
      </c>
      <c r="D18" s="120">
        <v>12.7</v>
      </c>
      <c r="E18" s="118">
        <f>4.2*2.7</f>
        <v>11.340000000000002</v>
      </c>
      <c r="F18" s="121">
        <f>11.6*2.7</f>
        <v>31.32</v>
      </c>
      <c r="G18" s="121"/>
      <c r="H18" s="121"/>
      <c r="I18" s="121"/>
      <c r="J18" s="120"/>
      <c r="K18" s="210"/>
      <c r="L18" s="211"/>
      <c r="M18" s="212"/>
      <c r="N18" s="118"/>
      <c r="O18" s="121"/>
      <c r="P18" s="205"/>
      <c r="Q18" s="120"/>
      <c r="R18" s="206"/>
      <c r="S18" s="205"/>
      <c r="T18" s="207"/>
    </row>
    <row r="19" spans="2:20" x14ac:dyDescent="0.25">
      <c r="B19" s="202">
        <v>116</v>
      </c>
      <c r="C19" s="203" t="s">
        <v>23</v>
      </c>
      <c r="D19" s="120">
        <v>2.7</v>
      </c>
      <c r="E19" s="118"/>
      <c r="F19" s="121"/>
      <c r="G19" s="121"/>
      <c r="H19" s="121">
        <v>4.5999999999999996</v>
      </c>
      <c r="I19" s="121">
        <v>6.7</v>
      </c>
      <c r="J19" s="120"/>
      <c r="K19" s="208">
        <f>290*0.0238</f>
        <v>6.9020000000000001</v>
      </c>
      <c r="L19" s="211"/>
      <c r="M19" s="212"/>
      <c r="N19" s="118"/>
      <c r="O19" s="121"/>
      <c r="P19" s="205"/>
      <c r="Q19" s="120"/>
      <c r="R19" s="206"/>
      <c r="S19" s="205"/>
      <c r="T19" s="207"/>
    </row>
    <row r="20" spans="2:20" x14ac:dyDescent="0.25">
      <c r="B20" s="202">
        <v>117</v>
      </c>
      <c r="C20" s="203" t="s">
        <v>17</v>
      </c>
      <c r="D20" s="120">
        <v>2.5</v>
      </c>
      <c r="E20" s="118"/>
      <c r="F20" s="121"/>
      <c r="G20" s="121"/>
      <c r="H20" s="121"/>
      <c r="I20" s="121">
        <v>14.3</v>
      </c>
      <c r="J20" s="120"/>
      <c r="K20" s="208">
        <f>117*0.0238</f>
        <v>2.7846000000000002</v>
      </c>
      <c r="L20" s="211"/>
      <c r="M20" s="212"/>
      <c r="N20" s="118">
        <v>1</v>
      </c>
      <c r="O20" s="121"/>
      <c r="P20" s="205"/>
      <c r="Q20" s="120"/>
      <c r="R20" s="202">
        <v>0.7</v>
      </c>
      <c r="S20" s="212"/>
      <c r="T20" s="120">
        <v>1</v>
      </c>
    </row>
    <row r="21" spans="2:20" x14ac:dyDescent="0.25">
      <c r="B21" s="202">
        <v>118</v>
      </c>
      <c r="C21" s="203" t="s">
        <v>24</v>
      </c>
      <c r="D21" s="120">
        <v>8.1</v>
      </c>
      <c r="E21" s="118"/>
      <c r="F21" s="121"/>
      <c r="G21" s="121"/>
      <c r="H21" s="121">
        <f>5.8*3.2</f>
        <v>18.559999999999999</v>
      </c>
      <c r="I21" s="121">
        <f>5.8*3.2</f>
        <v>18.559999999999999</v>
      </c>
      <c r="J21" s="120"/>
      <c r="K21" s="210"/>
      <c r="L21" s="211"/>
      <c r="M21" s="212">
        <v>1.1200000000000001</v>
      </c>
      <c r="N21" s="118"/>
      <c r="O21" s="121"/>
      <c r="P21" s="205"/>
      <c r="Q21" s="120"/>
      <c r="R21" s="202"/>
      <c r="S21" s="212"/>
      <c r="T21" s="120"/>
    </row>
    <row r="22" spans="2:20" x14ac:dyDescent="0.25">
      <c r="B22" s="202">
        <v>119</v>
      </c>
      <c r="C22" s="203" t="s">
        <v>11</v>
      </c>
      <c r="D22" s="120">
        <v>24.5</v>
      </c>
      <c r="E22" s="118">
        <f>28*3</f>
        <v>84</v>
      </c>
      <c r="F22" s="121"/>
      <c r="G22" s="121"/>
      <c r="H22" s="121"/>
      <c r="I22" s="121"/>
      <c r="J22" s="124">
        <v>1.1000000000000001</v>
      </c>
      <c r="K22" s="210"/>
      <c r="L22" s="211"/>
      <c r="M22" s="212"/>
      <c r="N22" s="118"/>
      <c r="O22" s="121"/>
      <c r="P22" s="205"/>
      <c r="Q22" s="120"/>
      <c r="R22" s="202"/>
      <c r="S22" s="212"/>
      <c r="T22" s="120"/>
    </row>
    <row r="23" spans="2:20" x14ac:dyDescent="0.25">
      <c r="B23" s="202">
        <v>120</v>
      </c>
      <c r="C23" s="203" t="s">
        <v>25</v>
      </c>
      <c r="D23" s="120">
        <v>14.9</v>
      </c>
      <c r="E23" s="118"/>
      <c r="F23" s="121"/>
      <c r="G23" s="121"/>
      <c r="H23" s="121">
        <f>9.2*1.4</f>
        <v>12.879999999999999</v>
      </c>
      <c r="I23" s="121">
        <f>7.5*1.4</f>
        <v>10.5</v>
      </c>
      <c r="J23" s="120"/>
      <c r="K23" s="208">
        <f>753*0.0238</f>
        <v>17.921400000000002</v>
      </c>
      <c r="L23" s="209">
        <f>72*0.0238</f>
        <v>1.7136</v>
      </c>
      <c r="M23" s="212"/>
      <c r="N23" s="118"/>
      <c r="O23" s="121"/>
      <c r="P23" s="212">
        <v>1</v>
      </c>
      <c r="Q23" s="120"/>
      <c r="R23" s="202">
        <v>5.0999999999999996</v>
      </c>
      <c r="S23" s="212">
        <v>3</v>
      </c>
      <c r="T23" s="120"/>
    </row>
    <row r="24" spans="2:20" x14ac:dyDescent="0.25">
      <c r="B24" s="202">
        <v>121</v>
      </c>
      <c r="C24" s="203" t="s">
        <v>8</v>
      </c>
      <c r="D24" s="120">
        <v>10.7</v>
      </c>
      <c r="E24" s="118">
        <f>13.9*2.7</f>
        <v>37.53</v>
      </c>
      <c r="F24" s="121"/>
      <c r="G24" s="121"/>
      <c r="H24" s="121"/>
      <c r="I24" s="121"/>
      <c r="J24" s="120"/>
      <c r="K24" s="213"/>
      <c r="L24" s="211"/>
      <c r="M24" s="212"/>
      <c r="N24" s="118"/>
      <c r="O24" s="121"/>
      <c r="P24" s="205"/>
      <c r="Q24" s="120"/>
      <c r="R24" s="202"/>
      <c r="S24" s="212"/>
      <c r="T24" s="120"/>
    </row>
    <row r="25" spans="2:20" x14ac:dyDescent="0.25">
      <c r="B25" s="202">
        <v>122</v>
      </c>
      <c r="C25" s="203" t="s">
        <v>26</v>
      </c>
      <c r="D25" s="120">
        <v>48.5</v>
      </c>
      <c r="E25" s="118">
        <f>14.4*3.2</f>
        <v>46.080000000000005</v>
      </c>
      <c r="F25" s="121">
        <f>14.4*3.2</f>
        <v>46.080000000000005</v>
      </c>
      <c r="G25" s="121"/>
      <c r="H25" s="121"/>
      <c r="I25" s="121"/>
      <c r="J25" s="120"/>
      <c r="K25" s="210"/>
      <c r="L25" s="211"/>
      <c r="M25" s="212"/>
      <c r="N25" s="118"/>
      <c r="O25" s="121"/>
      <c r="P25" s="205"/>
      <c r="Q25" s="120"/>
      <c r="R25" s="202"/>
      <c r="S25" s="212"/>
      <c r="T25" s="120"/>
    </row>
    <row r="26" spans="2:20" x14ac:dyDescent="0.25">
      <c r="B26" s="202">
        <v>123</v>
      </c>
      <c r="C26" s="203" t="s">
        <v>27</v>
      </c>
      <c r="D26" s="120">
        <v>73.8</v>
      </c>
      <c r="E26" s="118">
        <f>34*3.2</f>
        <v>108.80000000000001</v>
      </c>
      <c r="F26" s="121">
        <f>3.55*3.2</f>
        <v>11.36</v>
      </c>
      <c r="G26" s="121"/>
      <c r="H26" s="121"/>
      <c r="I26" s="121"/>
      <c r="J26" s="120"/>
      <c r="K26" s="210"/>
      <c r="L26" s="211"/>
      <c r="M26" s="212"/>
      <c r="N26" s="118"/>
      <c r="O26" s="121"/>
      <c r="P26" s="205"/>
      <c r="Q26" s="120"/>
      <c r="R26" s="202"/>
      <c r="S26" s="212"/>
      <c r="T26" s="120"/>
    </row>
    <row r="27" spans="2:20" x14ac:dyDescent="0.25">
      <c r="B27" s="202">
        <v>124</v>
      </c>
      <c r="C27" s="203" t="s">
        <v>28</v>
      </c>
      <c r="D27" s="120">
        <v>22.8</v>
      </c>
      <c r="E27" s="118">
        <f>16.5*3.2</f>
        <v>52.800000000000004</v>
      </c>
      <c r="F27" s="121">
        <f>5*3.2</f>
        <v>16</v>
      </c>
      <c r="G27" s="121"/>
      <c r="H27" s="121"/>
      <c r="I27" s="121"/>
      <c r="J27" s="120"/>
      <c r="K27" s="210"/>
      <c r="L27" s="211"/>
      <c r="M27" s="212"/>
      <c r="N27" s="118"/>
      <c r="O27" s="121"/>
      <c r="P27" s="205"/>
      <c r="Q27" s="120"/>
      <c r="R27" s="202"/>
      <c r="S27" s="212"/>
      <c r="T27" s="120"/>
    </row>
    <row r="28" spans="2:20" x14ac:dyDescent="0.25">
      <c r="B28" s="214">
        <v>125</v>
      </c>
      <c r="C28" s="215" t="s">
        <v>8</v>
      </c>
      <c r="D28" s="216">
        <v>10.7</v>
      </c>
      <c r="E28" s="217">
        <f>13.9*2.7</f>
        <v>37.53</v>
      </c>
      <c r="F28" s="218"/>
      <c r="G28" s="218"/>
      <c r="H28" s="218"/>
      <c r="I28" s="218"/>
      <c r="J28" s="216"/>
      <c r="K28" s="210"/>
      <c r="L28" s="211"/>
      <c r="M28" s="212"/>
      <c r="N28" s="118"/>
      <c r="O28" s="121"/>
      <c r="P28" s="205"/>
      <c r="Q28" s="120"/>
      <c r="R28" s="202"/>
      <c r="S28" s="212"/>
      <c r="T28" s="120"/>
    </row>
    <row r="29" spans="2:20" x14ac:dyDescent="0.25">
      <c r="B29" s="202">
        <v>126</v>
      </c>
      <c r="C29" s="203" t="s">
        <v>29</v>
      </c>
      <c r="D29" s="120">
        <v>50</v>
      </c>
      <c r="E29" s="118">
        <f>14.1*3.2</f>
        <v>45.120000000000005</v>
      </c>
      <c r="F29" s="121">
        <f>14.1*3.2</f>
        <v>45.120000000000005</v>
      </c>
      <c r="G29" s="121"/>
      <c r="H29" s="121"/>
      <c r="I29" s="121"/>
      <c r="J29" s="120"/>
      <c r="K29" s="210"/>
      <c r="L29" s="211"/>
      <c r="M29" s="212"/>
      <c r="N29" s="118"/>
      <c r="O29" s="121"/>
      <c r="P29" s="205"/>
      <c r="Q29" s="120"/>
      <c r="R29" s="202"/>
      <c r="S29" s="212"/>
      <c r="T29" s="120"/>
    </row>
    <row r="30" spans="2:20" x14ac:dyDescent="0.25">
      <c r="B30" s="202">
        <v>127</v>
      </c>
      <c r="C30" s="203" t="s">
        <v>30</v>
      </c>
      <c r="D30" s="120">
        <v>73.8</v>
      </c>
      <c r="E30" s="118">
        <f>29*3.2</f>
        <v>92.800000000000011</v>
      </c>
      <c r="F30" s="121">
        <f>6.6*3.2</f>
        <v>21.12</v>
      </c>
      <c r="G30" s="121"/>
      <c r="H30" s="121"/>
      <c r="I30" s="121"/>
      <c r="J30" s="120"/>
      <c r="K30" s="210"/>
      <c r="L30" s="211"/>
      <c r="M30" s="212"/>
      <c r="N30" s="118"/>
      <c r="O30" s="121"/>
      <c r="P30" s="205"/>
      <c r="Q30" s="120"/>
      <c r="R30" s="202"/>
      <c r="S30" s="212"/>
      <c r="T30" s="120"/>
    </row>
    <row r="31" spans="2:20" x14ac:dyDescent="0.25">
      <c r="B31" s="202">
        <v>128</v>
      </c>
      <c r="C31" s="203" t="s">
        <v>31</v>
      </c>
      <c r="D31" s="120">
        <v>17.7</v>
      </c>
      <c r="E31" s="118">
        <f>5.625*2.7</f>
        <v>15.187500000000002</v>
      </c>
      <c r="F31" s="121">
        <f>13.1*2.7</f>
        <v>35.370000000000005</v>
      </c>
      <c r="G31" s="121"/>
      <c r="H31" s="121"/>
      <c r="I31" s="121"/>
      <c r="J31" s="120"/>
      <c r="K31" s="210"/>
      <c r="L31" s="211"/>
      <c r="M31" s="212"/>
      <c r="N31" s="118"/>
      <c r="O31" s="121"/>
      <c r="P31" s="205"/>
      <c r="Q31" s="120"/>
      <c r="R31" s="202"/>
      <c r="S31" s="212"/>
      <c r="T31" s="120"/>
    </row>
    <row r="32" spans="2:20" x14ac:dyDescent="0.25">
      <c r="B32" s="202">
        <v>129</v>
      </c>
      <c r="C32" s="203" t="s">
        <v>32</v>
      </c>
      <c r="D32" s="120">
        <v>4.0999999999999996</v>
      </c>
      <c r="E32" s="118">
        <f>5.6*3.2</f>
        <v>17.919999999999998</v>
      </c>
      <c r="F32" s="121">
        <f>3.2*3.2</f>
        <v>10.240000000000002</v>
      </c>
      <c r="G32" s="121"/>
      <c r="H32" s="121"/>
      <c r="I32" s="121"/>
      <c r="J32" s="120"/>
      <c r="K32" s="210"/>
      <c r="L32" s="211"/>
      <c r="M32" s="212"/>
      <c r="N32" s="118"/>
      <c r="O32" s="121"/>
      <c r="P32" s="205"/>
      <c r="Q32" s="120"/>
      <c r="R32" s="202"/>
      <c r="S32" s="212"/>
      <c r="T32" s="120"/>
    </row>
    <row r="33" spans="2:20" x14ac:dyDescent="0.25">
      <c r="B33" s="202">
        <v>130</v>
      </c>
      <c r="C33" s="203" t="s">
        <v>33</v>
      </c>
      <c r="D33" s="120">
        <v>31.9</v>
      </c>
      <c r="E33" s="118"/>
      <c r="F33" s="121"/>
      <c r="G33" s="121"/>
      <c r="H33" s="121">
        <f>15*1.4</f>
        <v>21</v>
      </c>
      <c r="I33" s="121">
        <f>10.9*1</f>
        <v>10.9</v>
      </c>
      <c r="J33" s="120"/>
      <c r="K33" s="210">
        <f>1506*0.0238</f>
        <v>35.842800000000004</v>
      </c>
      <c r="L33" s="209">
        <f>118*0.0238</f>
        <v>2.8084000000000002</v>
      </c>
      <c r="M33" s="212"/>
      <c r="N33" s="118"/>
      <c r="O33" s="121"/>
      <c r="P33" s="205"/>
      <c r="Q33" s="120">
        <v>2</v>
      </c>
      <c r="R33" s="202">
        <v>7.4</v>
      </c>
      <c r="S33" s="212">
        <v>6</v>
      </c>
      <c r="T33" s="120"/>
    </row>
    <row r="34" spans="2:20" x14ac:dyDescent="0.25">
      <c r="B34" s="202">
        <v>131</v>
      </c>
      <c r="C34" s="203" t="s">
        <v>17</v>
      </c>
      <c r="D34" s="120">
        <v>1.3</v>
      </c>
      <c r="E34" s="118"/>
      <c r="F34" s="121"/>
      <c r="G34" s="121"/>
      <c r="H34" s="121">
        <f>3*1.4</f>
        <v>4.1999999999999993</v>
      </c>
      <c r="I34" s="121">
        <f>1.5*1.4</f>
        <v>2.0999999999999996</v>
      </c>
      <c r="J34" s="120"/>
      <c r="K34" s="210">
        <f>185*0.0238</f>
        <v>4.4030000000000005</v>
      </c>
      <c r="L34" s="209">
        <f>12*0.0238</f>
        <v>0.28560000000000002</v>
      </c>
      <c r="M34" s="212"/>
      <c r="N34" s="118"/>
      <c r="O34" s="121"/>
      <c r="P34" s="205"/>
      <c r="Q34" s="120"/>
      <c r="R34" s="202"/>
      <c r="S34" s="212"/>
      <c r="T34" s="120"/>
    </row>
    <row r="35" spans="2:20" x14ac:dyDescent="0.25">
      <c r="B35" s="202">
        <v>132</v>
      </c>
      <c r="C35" s="203" t="s">
        <v>34</v>
      </c>
      <c r="D35" s="120">
        <v>4.2</v>
      </c>
      <c r="E35" s="118">
        <f>5.4*3.2</f>
        <v>17.28</v>
      </c>
      <c r="F35" s="121">
        <f>3.2*3.2</f>
        <v>10.240000000000002</v>
      </c>
      <c r="G35" s="121"/>
      <c r="H35" s="121"/>
      <c r="I35" s="121"/>
      <c r="J35" s="120"/>
      <c r="K35" s="213"/>
      <c r="L35" s="211"/>
      <c r="M35" s="212"/>
      <c r="N35" s="118"/>
      <c r="O35" s="121"/>
      <c r="P35" s="205"/>
      <c r="Q35" s="120"/>
      <c r="R35" s="202"/>
      <c r="S35" s="212"/>
      <c r="T35" s="120"/>
    </row>
    <row r="36" spans="2:20" x14ac:dyDescent="0.25">
      <c r="B36" s="202">
        <v>133</v>
      </c>
      <c r="C36" s="203" t="s">
        <v>35</v>
      </c>
      <c r="D36" s="120">
        <v>17.3</v>
      </c>
      <c r="E36" s="118">
        <f>13.1*2.7</f>
        <v>35.370000000000005</v>
      </c>
      <c r="F36" s="121">
        <f>5.6*2.7</f>
        <v>15.12</v>
      </c>
      <c r="G36" s="121"/>
      <c r="H36" s="121"/>
      <c r="I36" s="121"/>
      <c r="J36" s="120"/>
      <c r="K36" s="210"/>
      <c r="L36" s="211"/>
      <c r="M36" s="212"/>
      <c r="N36" s="118"/>
      <c r="O36" s="121"/>
      <c r="P36" s="205"/>
      <c r="Q36" s="120"/>
      <c r="R36" s="202"/>
      <c r="S36" s="212"/>
      <c r="T36" s="120"/>
    </row>
    <row r="37" spans="2:20" x14ac:dyDescent="0.25">
      <c r="B37" s="202">
        <v>134</v>
      </c>
      <c r="C37" s="203" t="s">
        <v>37</v>
      </c>
      <c r="D37" s="120">
        <v>73.8</v>
      </c>
      <c r="E37" s="118">
        <f>29*3.2</f>
        <v>92.800000000000011</v>
      </c>
      <c r="F37" s="121">
        <f>6.55*3.2</f>
        <v>20.96</v>
      </c>
      <c r="G37" s="121"/>
      <c r="H37" s="121"/>
      <c r="I37" s="121"/>
      <c r="J37" s="120"/>
      <c r="K37" s="210"/>
      <c r="L37" s="211"/>
      <c r="M37" s="212"/>
      <c r="N37" s="118"/>
      <c r="O37" s="121"/>
      <c r="P37" s="205"/>
      <c r="Q37" s="120"/>
      <c r="R37" s="202"/>
      <c r="S37" s="212"/>
      <c r="T37" s="120"/>
    </row>
    <row r="38" spans="2:20" x14ac:dyDescent="0.25">
      <c r="B38" s="202">
        <v>135</v>
      </c>
      <c r="C38" s="203" t="s">
        <v>36</v>
      </c>
      <c r="D38" s="120">
        <v>49.5</v>
      </c>
      <c r="E38" s="118">
        <f>14.1*3.2</f>
        <v>45.120000000000005</v>
      </c>
      <c r="F38" s="121">
        <f>14.1*3.2</f>
        <v>45.120000000000005</v>
      </c>
      <c r="G38" s="121"/>
      <c r="H38" s="121"/>
      <c r="I38" s="121"/>
      <c r="J38" s="120"/>
      <c r="K38" s="210"/>
      <c r="L38" s="211"/>
      <c r="M38" s="212"/>
      <c r="N38" s="118"/>
      <c r="O38" s="121"/>
      <c r="P38" s="205"/>
      <c r="Q38" s="120"/>
      <c r="R38" s="202"/>
      <c r="S38" s="212"/>
      <c r="T38" s="120"/>
    </row>
    <row r="39" spans="2:20" x14ac:dyDescent="0.25">
      <c r="B39" s="202">
        <v>136</v>
      </c>
      <c r="C39" s="203" t="s">
        <v>38</v>
      </c>
      <c r="D39" s="120">
        <v>49.5</v>
      </c>
      <c r="E39" s="118">
        <f>14.1*3.2</f>
        <v>45.120000000000005</v>
      </c>
      <c r="F39" s="121">
        <f>14.1*3.2</f>
        <v>45.120000000000005</v>
      </c>
      <c r="G39" s="121"/>
      <c r="H39" s="121"/>
      <c r="I39" s="121"/>
      <c r="J39" s="120"/>
      <c r="K39" s="210"/>
      <c r="L39" s="211"/>
      <c r="M39" s="212"/>
      <c r="N39" s="118"/>
      <c r="O39" s="121"/>
      <c r="P39" s="205"/>
      <c r="Q39" s="120"/>
      <c r="R39" s="202"/>
      <c r="S39" s="212"/>
      <c r="T39" s="120"/>
    </row>
    <row r="40" spans="2:20" x14ac:dyDescent="0.25">
      <c r="B40" s="202">
        <v>137</v>
      </c>
      <c r="C40" s="203" t="s">
        <v>39</v>
      </c>
      <c r="D40" s="120">
        <v>73.8</v>
      </c>
      <c r="E40" s="118">
        <f>29*3.2</f>
        <v>92.800000000000011</v>
      </c>
      <c r="F40" s="121">
        <f>6.55*3.2</f>
        <v>20.96</v>
      </c>
      <c r="G40" s="121"/>
      <c r="H40" s="121"/>
      <c r="I40" s="121"/>
      <c r="J40" s="120"/>
      <c r="K40" s="210"/>
      <c r="L40" s="211"/>
      <c r="M40" s="212"/>
      <c r="N40" s="118"/>
      <c r="O40" s="121"/>
      <c r="P40" s="205"/>
      <c r="Q40" s="120"/>
      <c r="R40" s="202"/>
      <c r="S40" s="212"/>
      <c r="T40" s="120"/>
    </row>
    <row r="41" spans="2:20" x14ac:dyDescent="0.25">
      <c r="B41" s="202">
        <v>138</v>
      </c>
      <c r="C41" s="203" t="s">
        <v>40</v>
      </c>
      <c r="D41" s="120">
        <v>17.3</v>
      </c>
      <c r="E41" s="118">
        <f>13.1*2.7</f>
        <v>35.370000000000005</v>
      </c>
      <c r="F41" s="121">
        <f>5.6*2.7</f>
        <v>15.12</v>
      </c>
      <c r="G41" s="121"/>
      <c r="H41" s="121"/>
      <c r="I41" s="121"/>
      <c r="J41" s="120"/>
      <c r="K41" s="210"/>
      <c r="L41" s="211"/>
      <c r="M41" s="212"/>
      <c r="N41" s="118"/>
      <c r="O41" s="121"/>
      <c r="P41" s="205"/>
      <c r="Q41" s="120"/>
      <c r="R41" s="202"/>
      <c r="S41" s="212"/>
      <c r="T41" s="120"/>
    </row>
    <row r="42" spans="2:20" x14ac:dyDescent="0.25">
      <c r="B42" s="202">
        <v>139</v>
      </c>
      <c r="C42" s="203" t="s">
        <v>41</v>
      </c>
      <c r="D42" s="120">
        <v>4.2</v>
      </c>
      <c r="E42" s="118">
        <f>5.6*3.2</f>
        <v>17.919999999999998</v>
      </c>
      <c r="F42" s="121">
        <f>3.15*3.2</f>
        <v>10.08</v>
      </c>
      <c r="G42" s="121"/>
      <c r="H42" s="121"/>
      <c r="I42" s="121"/>
      <c r="J42" s="120"/>
      <c r="K42" s="210"/>
      <c r="L42" s="211"/>
      <c r="M42" s="212"/>
      <c r="N42" s="118"/>
      <c r="O42" s="121"/>
      <c r="P42" s="205"/>
      <c r="Q42" s="120"/>
      <c r="R42" s="202"/>
      <c r="S42" s="212"/>
      <c r="T42" s="120"/>
    </row>
    <row r="43" spans="2:20" x14ac:dyDescent="0.25">
      <c r="B43" s="202">
        <v>140</v>
      </c>
      <c r="C43" s="203" t="s">
        <v>42</v>
      </c>
      <c r="D43" s="120">
        <v>31.9</v>
      </c>
      <c r="E43" s="118"/>
      <c r="F43" s="121"/>
      <c r="G43" s="121"/>
      <c r="H43" s="121">
        <f>3*1.4</f>
        <v>4.1999999999999993</v>
      </c>
      <c r="I43" s="121">
        <f>1.5*1.4</f>
        <v>2.0999999999999996</v>
      </c>
      <c r="J43" s="120"/>
      <c r="K43" s="210">
        <f>1494*0.0238</f>
        <v>35.557200000000002</v>
      </c>
      <c r="L43" s="209">
        <f>123*0.0238</f>
        <v>2.9274</v>
      </c>
      <c r="M43" s="212"/>
      <c r="N43" s="118"/>
      <c r="O43" s="121"/>
      <c r="P43" s="205"/>
      <c r="Q43" s="120">
        <v>2</v>
      </c>
      <c r="R43" s="202">
        <v>7.4</v>
      </c>
      <c r="S43" s="212">
        <v>6</v>
      </c>
      <c r="T43" s="120"/>
    </row>
    <row r="44" spans="2:20" x14ac:dyDescent="0.25">
      <c r="B44" s="202">
        <v>141</v>
      </c>
      <c r="C44" s="203" t="s">
        <v>17</v>
      </c>
      <c r="D44" s="120">
        <v>1.3</v>
      </c>
      <c r="E44" s="118"/>
      <c r="F44" s="121"/>
      <c r="G44" s="121"/>
      <c r="H44" s="121">
        <f>15*1.4</f>
        <v>21</v>
      </c>
      <c r="I44" s="121">
        <f>10.9*1</f>
        <v>10.9</v>
      </c>
      <c r="J44" s="120"/>
      <c r="K44" s="210">
        <f>33*0.0238</f>
        <v>0.7854000000000001</v>
      </c>
      <c r="L44" s="209">
        <f>12*0.0238</f>
        <v>0.28560000000000002</v>
      </c>
      <c r="M44" s="212"/>
      <c r="N44" s="118"/>
      <c r="O44" s="121"/>
      <c r="P44" s="205"/>
      <c r="Q44" s="120"/>
      <c r="R44" s="202"/>
      <c r="S44" s="212"/>
      <c r="T44" s="120"/>
    </row>
    <row r="45" spans="2:20" x14ac:dyDescent="0.25">
      <c r="B45" s="202">
        <v>142</v>
      </c>
      <c r="C45" s="203" t="s">
        <v>43</v>
      </c>
      <c r="D45" s="120">
        <v>4.0999999999999996</v>
      </c>
      <c r="E45" s="118">
        <f>5.5*3.2</f>
        <v>17.600000000000001</v>
      </c>
      <c r="F45" s="121">
        <f>3.2*3.2</f>
        <v>10.240000000000002</v>
      </c>
      <c r="G45" s="121"/>
      <c r="H45" s="121"/>
      <c r="I45" s="121"/>
      <c r="J45" s="120"/>
      <c r="K45" s="210"/>
      <c r="L45" s="211"/>
      <c r="M45" s="212"/>
      <c r="N45" s="118"/>
      <c r="O45" s="121"/>
      <c r="P45" s="205"/>
      <c r="Q45" s="120"/>
      <c r="R45" s="202"/>
      <c r="S45" s="212"/>
      <c r="T45" s="120"/>
    </row>
    <row r="46" spans="2:20" x14ac:dyDescent="0.25">
      <c r="B46" s="202">
        <v>143</v>
      </c>
      <c r="C46" s="203" t="s">
        <v>44</v>
      </c>
      <c r="D46" s="120">
        <v>17.7</v>
      </c>
      <c r="E46" s="118">
        <f>5.625*2.7</f>
        <v>15.187500000000002</v>
      </c>
      <c r="F46" s="121">
        <f>13.1*2.7</f>
        <v>35.370000000000005</v>
      </c>
      <c r="G46" s="121"/>
      <c r="H46" s="121"/>
      <c r="I46" s="121"/>
      <c r="J46" s="120"/>
      <c r="K46" s="210"/>
      <c r="L46" s="211"/>
      <c r="M46" s="212"/>
      <c r="N46" s="118"/>
      <c r="O46" s="121"/>
      <c r="P46" s="205"/>
      <c r="Q46" s="120"/>
      <c r="R46" s="202"/>
      <c r="S46" s="212"/>
      <c r="T46" s="120"/>
    </row>
    <row r="47" spans="2:20" x14ac:dyDescent="0.25">
      <c r="B47" s="202">
        <v>144</v>
      </c>
      <c r="C47" s="203" t="s">
        <v>45</v>
      </c>
      <c r="D47" s="120">
        <v>73.8</v>
      </c>
      <c r="E47" s="118">
        <f>30*3.2</f>
        <v>96</v>
      </c>
      <c r="F47" s="121">
        <f>6.6*3.2</f>
        <v>21.12</v>
      </c>
      <c r="G47" s="121"/>
      <c r="H47" s="121"/>
      <c r="I47" s="121"/>
      <c r="J47" s="120"/>
      <c r="K47" s="210"/>
      <c r="L47" s="211"/>
      <c r="M47" s="212"/>
      <c r="N47" s="118"/>
      <c r="O47" s="121"/>
      <c r="P47" s="205"/>
      <c r="Q47" s="120"/>
      <c r="R47" s="202"/>
      <c r="S47" s="212"/>
      <c r="T47" s="120"/>
    </row>
    <row r="48" spans="2:20" x14ac:dyDescent="0.25">
      <c r="B48" s="202">
        <v>145</v>
      </c>
      <c r="C48" s="203" t="s">
        <v>46</v>
      </c>
      <c r="D48" s="120">
        <v>50</v>
      </c>
      <c r="E48" s="118">
        <f>29*3.2</f>
        <v>92.800000000000011</v>
      </c>
      <c r="F48" s="121">
        <f>6.6*3.2</f>
        <v>21.12</v>
      </c>
      <c r="G48" s="121"/>
      <c r="H48" s="121"/>
      <c r="I48" s="121"/>
      <c r="J48" s="120"/>
      <c r="K48" s="210"/>
      <c r="L48" s="211"/>
      <c r="M48" s="212"/>
      <c r="N48" s="118"/>
      <c r="O48" s="121"/>
      <c r="P48" s="205"/>
      <c r="Q48" s="120"/>
      <c r="R48" s="202"/>
      <c r="S48" s="212"/>
      <c r="T48" s="120"/>
    </row>
    <row r="49" spans="2:20" x14ac:dyDescent="0.25">
      <c r="B49" s="202">
        <v>146</v>
      </c>
      <c r="C49" s="203" t="s">
        <v>47</v>
      </c>
      <c r="D49" s="120">
        <v>73.8</v>
      </c>
      <c r="E49" s="118">
        <f>34*3.2</f>
        <v>108.80000000000001</v>
      </c>
      <c r="F49" s="121">
        <f>3.55*3.2</f>
        <v>11.36</v>
      </c>
      <c r="G49" s="121"/>
      <c r="H49" s="121"/>
      <c r="I49" s="121"/>
      <c r="J49" s="120"/>
      <c r="K49" s="210"/>
      <c r="L49" s="211"/>
      <c r="M49" s="212"/>
      <c r="N49" s="118"/>
      <c r="O49" s="121"/>
      <c r="P49" s="205"/>
      <c r="Q49" s="120"/>
      <c r="R49" s="202"/>
      <c r="S49" s="212"/>
      <c r="T49" s="120"/>
    </row>
    <row r="50" spans="2:20" x14ac:dyDescent="0.25">
      <c r="B50" s="202">
        <v>147</v>
      </c>
      <c r="C50" s="203" t="s">
        <v>48</v>
      </c>
      <c r="D50" s="120">
        <v>22.7</v>
      </c>
      <c r="E50" s="118">
        <f>16.5*3.2</f>
        <v>52.800000000000004</v>
      </c>
      <c r="F50" s="121">
        <f>5*3.2</f>
        <v>16</v>
      </c>
      <c r="G50" s="121"/>
      <c r="H50" s="121"/>
      <c r="I50" s="121"/>
      <c r="J50" s="120"/>
      <c r="K50" s="210"/>
      <c r="L50" s="211"/>
      <c r="M50" s="212"/>
      <c r="N50" s="118"/>
      <c r="O50" s="121"/>
      <c r="P50" s="205"/>
      <c r="Q50" s="120"/>
      <c r="R50" s="202"/>
      <c r="S50" s="212"/>
      <c r="T50" s="120"/>
    </row>
    <row r="51" spans="2:20" x14ac:dyDescent="0.25">
      <c r="B51" s="202">
        <v>148</v>
      </c>
      <c r="C51" s="203" t="s">
        <v>49</v>
      </c>
      <c r="D51" s="120">
        <v>48.5</v>
      </c>
      <c r="E51" s="118">
        <f>14.4*3.2</f>
        <v>46.080000000000005</v>
      </c>
      <c r="F51" s="121">
        <f>14.4*3.2</f>
        <v>46.080000000000005</v>
      </c>
      <c r="G51" s="121"/>
      <c r="H51" s="121"/>
      <c r="I51" s="121"/>
      <c r="J51" s="120"/>
      <c r="K51" s="210"/>
      <c r="L51" s="211"/>
      <c r="M51" s="212"/>
      <c r="N51" s="118"/>
      <c r="O51" s="121"/>
      <c r="P51" s="205"/>
      <c r="Q51" s="120"/>
      <c r="R51" s="202"/>
      <c r="S51" s="212"/>
      <c r="T51" s="120"/>
    </row>
    <row r="52" spans="2:20" x14ac:dyDescent="0.25">
      <c r="B52" s="202">
        <v>149</v>
      </c>
      <c r="C52" s="203" t="s">
        <v>50</v>
      </c>
      <c r="D52" s="120">
        <v>14.9</v>
      </c>
      <c r="E52" s="118"/>
      <c r="F52" s="121"/>
      <c r="G52" s="121"/>
      <c r="H52" s="121">
        <f>9.2*1.4</f>
        <v>12.879999999999999</v>
      </c>
      <c r="I52" s="121">
        <f>7.5*1.4</f>
        <v>10.5</v>
      </c>
      <c r="J52" s="120"/>
      <c r="K52" s="210">
        <f>778*0.0238</f>
        <v>18.516400000000001</v>
      </c>
      <c r="L52" s="209">
        <f>64*0.0238</f>
        <v>1.5232000000000001</v>
      </c>
      <c r="M52" s="212"/>
      <c r="N52" s="118"/>
      <c r="O52" s="121"/>
      <c r="P52" s="205">
        <v>1</v>
      </c>
      <c r="Q52" s="120"/>
      <c r="R52" s="202">
        <v>5.0999999999999996</v>
      </c>
      <c r="S52" s="212">
        <v>3</v>
      </c>
      <c r="T52" s="120"/>
    </row>
    <row r="53" spans="2:20" x14ac:dyDescent="0.25">
      <c r="B53" s="202">
        <v>150</v>
      </c>
      <c r="C53" s="203" t="s">
        <v>11</v>
      </c>
      <c r="D53" s="120">
        <v>24.4</v>
      </c>
      <c r="E53" s="118">
        <f>28*3</f>
        <v>84</v>
      </c>
      <c r="F53" s="121"/>
      <c r="G53" s="121"/>
      <c r="H53" s="121"/>
      <c r="I53" s="121"/>
      <c r="J53" s="120">
        <v>1.1000000000000001</v>
      </c>
      <c r="K53" s="210"/>
      <c r="L53" s="211"/>
      <c r="M53" s="212"/>
      <c r="N53" s="118"/>
      <c r="O53" s="121"/>
      <c r="P53" s="205"/>
      <c r="Q53" s="120"/>
      <c r="R53" s="202"/>
      <c r="S53" s="212"/>
      <c r="T53" s="120"/>
    </row>
    <row r="54" spans="2:20" x14ac:dyDescent="0.25">
      <c r="B54" s="202">
        <v>151</v>
      </c>
      <c r="C54" s="203" t="s">
        <v>16</v>
      </c>
      <c r="D54" s="120">
        <v>36.6</v>
      </c>
      <c r="E54" s="118">
        <f>41.4*2.5</f>
        <v>103.5</v>
      </c>
      <c r="F54" s="121"/>
      <c r="G54" s="121"/>
      <c r="H54" s="121"/>
      <c r="I54" s="121"/>
      <c r="J54" s="120">
        <v>2.2000000000000002</v>
      </c>
      <c r="K54" s="210"/>
      <c r="L54" s="211"/>
      <c r="M54" s="212"/>
      <c r="N54" s="118"/>
      <c r="O54" s="121"/>
      <c r="P54" s="205"/>
      <c r="Q54" s="120"/>
      <c r="R54" s="202"/>
      <c r="S54" s="212"/>
      <c r="T54" s="120"/>
    </row>
    <row r="55" spans="2:20" x14ac:dyDescent="0.25">
      <c r="B55" s="202">
        <v>152</v>
      </c>
      <c r="C55" s="203" t="s">
        <v>51</v>
      </c>
      <c r="D55" s="120">
        <v>3.6</v>
      </c>
      <c r="E55" s="118"/>
      <c r="F55" s="121"/>
      <c r="G55" s="121"/>
      <c r="H55" s="121">
        <f>3.72*3.315</f>
        <v>12.331800000000001</v>
      </c>
      <c r="I55" s="121">
        <f>2*3.315</f>
        <v>6.63</v>
      </c>
      <c r="J55" s="120"/>
      <c r="K55" s="210"/>
      <c r="L55" s="211"/>
      <c r="M55" s="212"/>
      <c r="N55" s="118"/>
      <c r="O55" s="121"/>
      <c r="P55" s="205"/>
      <c r="Q55" s="120"/>
      <c r="R55" s="202"/>
      <c r="S55" s="212"/>
      <c r="T55" s="120"/>
    </row>
    <row r="56" spans="2:20" x14ac:dyDescent="0.25">
      <c r="B56" s="202">
        <v>153</v>
      </c>
      <c r="C56" s="203" t="s">
        <v>52</v>
      </c>
      <c r="D56" s="120">
        <v>4</v>
      </c>
      <c r="E56" s="118"/>
      <c r="F56" s="121"/>
      <c r="G56" s="121"/>
      <c r="H56" s="121">
        <f>11.6*3.315</f>
        <v>38.454000000000001</v>
      </c>
      <c r="I56" s="121">
        <f>2.35*3.315</f>
        <v>7.7902500000000003</v>
      </c>
      <c r="J56" s="120"/>
      <c r="K56" s="210"/>
      <c r="L56" s="211"/>
      <c r="M56" s="212"/>
      <c r="N56" s="118"/>
      <c r="O56" s="121"/>
      <c r="P56" s="205"/>
      <c r="Q56" s="120"/>
      <c r="R56" s="202"/>
      <c r="S56" s="212"/>
      <c r="T56" s="120"/>
    </row>
    <row r="57" spans="2:20" x14ac:dyDescent="0.25">
      <c r="B57" s="202">
        <v>154</v>
      </c>
      <c r="C57" s="203" t="s">
        <v>53</v>
      </c>
      <c r="D57" s="120">
        <v>15.6</v>
      </c>
      <c r="E57" s="118"/>
      <c r="F57" s="121"/>
      <c r="G57" s="121"/>
      <c r="H57" s="121">
        <f>4*3.315</f>
        <v>13.26</v>
      </c>
      <c r="I57" s="121">
        <f>4*3.315</f>
        <v>13.26</v>
      </c>
      <c r="J57" s="120"/>
      <c r="K57" s="210"/>
      <c r="L57" s="211"/>
      <c r="M57" s="212">
        <v>13.5</v>
      </c>
      <c r="N57" s="118"/>
      <c r="O57" s="121"/>
      <c r="P57" s="205"/>
      <c r="Q57" s="120"/>
      <c r="R57" s="202"/>
      <c r="S57" s="212"/>
      <c r="T57" s="120"/>
    </row>
    <row r="58" spans="2:20" x14ac:dyDescent="0.25">
      <c r="B58" s="202">
        <v>155</v>
      </c>
      <c r="C58" s="203" t="s">
        <v>16</v>
      </c>
      <c r="D58" s="120">
        <v>12.1</v>
      </c>
      <c r="E58" s="118"/>
      <c r="F58" s="121"/>
      <c r="G58" s="121"/>
      <c r="H58" s="121">
        <f>15*3.2</f>
        <v>48</v>
      </c>
      <c r="I58" s="121">
        <f>6.5*3.2</f>
        <v>20.8</v>
      </c>
      <c r="J58" s="120"/>
      <c r="K58" s="210"/>
      <c r="L58" s="211"/>
      <c r="M58" s="212">
        <v>3.1</v>
      </c>
      <c r="N58" s="118"/>
      <c r="O58" s="121"/>
      <c r="P58" s="205"/>
      <c r="Q58" s="120"/>
      <c r="R58" s="202"/>
      <c r="S58" s="212"/>
      <c r="T58" s="120"/>
    </row>
    <row r="59" spans="2:20" x14ac:dyDescent="0.25">
      <c r="B59" s="202">
        <v>156</v>
      </c>
      <c r="C59" s="203" t="s">
        <v>54</v>
      </c>
      <c r="D59" s="120">
        <v>5.0999999999999996</v>
      </c>
      <c r="E59" s="118">
        <f>4.8*3.2</f>
        <v>15.36</v>
      </c>
      <c r="F59" s="121">
        <f>4.8*3.2</f>
        <v>15.36</v>
      </c>
      <c r="G59" s="121"/>
      <c r="H59" s="121"/>
      <c r="I59" s="121"/>
      <c r="J59" s="120"/>
      <c r="K59" s="210"/>
      <c r="L59" s="211"/>
      <c r="M59" s="212"/>
      <c r="N59" s="118"/>
      <c r="O59" s="121"/>
      <c r="P59" s="205"/>
      <c r="Q59" s="120"/>
      <c r="R59" s="202"/>
      <c r="S59" s="212"/>
      <c r="T59" s="120"/>
    </row>
    <row r="60" spans="2:20" x14ac:dyDescent="0.25">
      <c r="B60" s="202">
        <v>157</v>
      </c>
      <c r="C60" s="203" t="s">
        <v>22</v>
      </c>
      <c r="D60" s="120">
        <v>3.9</v>
      </c>
      <c r="E60" s="118"/>
      <c r="F60" s="121"/>
      <c r="G60" s="121"/>
      <c r="H60" s="121">
        <f>1.65*2.7</f>
        <v>4.4550000000000001</v>
      </c>
      <c r="I60" s="121">
        <f>6.2*2.7</f>
        <v>16.740000000000002</v>
      </c>
      <c r="J60" s="120"/>
      <c r="K60" s="210"/>
      <c r="L60" s="211"/>
      <c r="M60" s="212"/>
      <c r="N60" s="118"/>
      <c r="O60" s="121"/>
      <c r="P60" s="205"/>
      <c r="Q60" s="120"/>
      <c r="R60" s="202"/>
      <c r="S60" s="212"/>
      <c r="T60" s="120"/>
    </row>
    <row r="61" spans="2:20" x14ac:dyDescent="0.25">
      <c r="B61" s="202">
        <v>158</v>
      </c>
      <c r="C61" s="203" t="s">
        <v>55</v>
      </c>
      <c r="D61" s="120">
        <v>2</v>
      </c>
      <c r="E61" s="118"/>
      <c r="F61" s="121"/>
      <c r="G61" s="121"/>
      <c r="H61" s="121">
        <v>1.3</v>
      </c>
      <c r="I61" s="121">
        <v>2.8</v>
      </c>
      <c r="J61" s="120"/>
      <c r="K61" s="210"/>
      <c r="L61" s="211"/>
      <c r="M61" s="212">
        <v>11.2</v>
      </c>
      <c r="N61" s="118"/>
      <c r="O61" s="121"/>
      <c r="P61" s="205"/>
      <c r="Q61" s="120"/>
      <c r="R61" s="202"/>
      <c r="S61" s="212"/>
      <c r="T61" s="120"/>
    </row>
    <row r="62" spans="2:20" x14ac:dyDescent="0.25">
      <c r="B62" s="202">
        <v>159</v>
      </c>
      <c r="C62" s="203" t="s">
        <v>17</v>
      </c>
      <c r="D62" s="120">
        <v>2.2999999999999998</v>
      </c>
      <c r="E62" s="118"/>
      <c r="F62" s="121"/>
      <c r="G62" s="121"/>
      <c r="H62" s="121"/>
      <c r="I62" s="121">
        <v>8.1999999999999993</v>
      </c>
      <c r="J62" s="120"/>
      <c r="K62" s="210"/>
      <c r="L62" s="211"/>
      <c r="M62" s="212">
        <v>8.4</v>
      </c>
      <c r="N62" s="118">
        <v>1</v>
      </c>
      <c r="O62" s="121"/>
      <c r="P62" s="205"/>
      <c r="Q62" s="120"/>
      <c r="R62" s="202">
        <v>0.7</v>
      </c>
      <c r="S62" s="212"/>
      <c r="T62" s="120">
        <v>1</v>
      </c>
    </row>
    <row r="63" spans="2:20" x14ac:dyDescent="0.25">
      <c r="B63" s="202">
        <v>160</v>
      </c>
      <c r="C63" s="203" t="s">
        <v>16</v>
      </c>
      <c r="D63" s="120">
        <v>4.5</v>
      </c>
      <c r="E63" s="118"/>
      <c r="F63" s="121"/>
      <c r="G63" s="121"/>
      <c r="H63" s="121"/>
      <c r="I63" s="121">
        <v>10</v>
      </c>
      <c r="J63" s="120"/>
      <c r="K63" s="210"/>
      <c r="L63" s="211"/>
      <c r="M63" s="212">
        <v>6.2</v>
      </c>
      <c r="N63" s="118"/>
      <c r="O63" s="121"/>
      <c r="P63" s="205"/>
      <c r="Q63" s="120"/>
      <c r="R63" s="202"/>
      <c r="S63" s="212"/>
      <c r="T63" s="120"/>
    </row>
    <row r="64" spans="2:20" x14ac:dyDescent="0.25">
      <c r="B64" s="202">
        <v>161</v>
      </c>
      <c r="C64" s="203" t="s">
        <v>56</v>
      </c>
      <c r="D64" s="120">
        <v>7</v>
      </c>
      <c r="E64" s="118"/>
      <c r="F64" s="121"/>
      <c r="G64" s="121"/>
      <c r="H64" s="121"/>
      <c r="I64" s="121">
        <v>14.4</v>
      </c>
      <c r="J64" s="120"/>
      <c r="K64" s="210"/>
      <c r="L64" s="211"/>
      <c r="M64" s="212">
        <v>13.5</v>
      </c>
      <c r="N64" s="118"/>
      <c r="O64" s="121"/>
      <c r="P64" s="205"/>
      <c r="Q64" s="120"/>
      <c r="R64" s="202"/>
      <c r="S64" s="212"/>
      <c r="T64" s="120"/>
    </row>
    <row r="65" spans="2:20" x14ac:dyDescent="0.25">
      <c r="B65" s="202">
        <v>163</v>
      </c>
      <c r="C65" s="203" t="s">
        <v>57</v>
      </c>
      <c r="D65" s="120">
        <v>4.4000000000000004</v>
      </c>
      <c r="E65" s="118"/>
      <c r="F65" s="121"/>
      <c r="G65" s="121"/>
      <c r="H65" s="121">
        <f>1.66*3.2</f>
        <v>5.3120000000000003</v>
      </c>
      <c r="I65" s="121">
        <f>2.55*3.2</f>
        <v>8.16</v>
      </c>
      <c r="J65" s="120"/>
      <c r="K65" s="219"/>
      <c r="L65" s="220"/>
      <c r="M65" s="212"/>
      <c r="N65" s="118"/>
      <c r="O65" s="121"/>
      <c r="P65" s="205"/>
      <c r="Q65" s="120"/>
      <c r="R65" s="202"/>
      <c r="S65" s="212"/>
      <c r="T65" s="120"/>
    </row>
    <row r="66" spans="2:20" x14ac:dyDescent="0.25">
      <c r="B66" s="202">
        <v>165</v>
      </c>
      <c r="C66" s="203" t="s">
        <v>58</v>
      </c>
      <c r="D66" s="120">
        <v>5.3</v>
      </c>
      <c r="E66" s="118"/>
      <c r="F66" s="121"/>
      <c r="G66" s="121"/>
      <c r="H66" s="121">
        <v>2.8</v>
      </c>
      <c r="I66" s="121">
        <v>9</v>
      </c>
      <c r="J66" s="120"/>
      <c r="K66" s="219"/>
      <c r="L66" s="220"/>
      <c r="M66" s="212">
        <v>11.8</v>
      </c>
      <c r="N66" s="118"/>
      <c r="O66" s="121"/>
      <c r="P66" s="205"/>
      <c r="Q66" s="120"/>
      <c r="R66" s="202"/>
      <c r="S66" s="212"/>
      <c r="T66" s="120"/>
    </row>
    <row r="67" spans="2:20" x14ac:dyDescent="0.25">
      <c r="B67" s="202">
        <v>166</v>
      </c>
      <c r="C67" s="203" t="s">
        <v>59</v>
      </c>
      <c r="D67" s="120">
        <v>4.4000000000000004</v>
      </c>
      <c r="E67" s="118"/>
      <c r="F67" s="121"/>
      <c r="G67" s="121"/>
      <c r="H67" s="121">
        <v>2.9</v>
      </c>
      <c r="I67" s="121">
        <v>2.9</v>
      </c>
      <c r="J67" s="120"/>
      <c r="K67" s="219"/>
      <c r="L67" s="220"/>
      <c r="M67" s="212">
        <v>6.2</v>
      </c>
      <c r="N67" s="118"/>
      <c r="O67" s="121"/>
      <c r="P67" s="205"/>
      <c r="Q67" s="120"/>
      <c r="R67" s="202"/>
      <c r="S67" s="212"/>
      <c r="T67" s="120"/>
    </row>
    <row r="68" spans="2:20" x14ac:dyDescent="0.25">
      <c r="B68" s="202">
        <v>167</v>
      </c>
      <c r="C68" s="203" t="s">
        <v>60</v>
      </c>
      <c r="D68" s="120">
        <v>3.2</v>
      </c>
      <c r="E68" s="118"/>
      <c r="F68" s="121"/>
      <c r="G68" s="121"/>
      <c r="H68" s="121">
        <v>0.62</v>
      </c>
      <c r="I68" s="121">
        <v>7.1</v>
      </c>
      <c r="J68" s="120"/>
      <c r="K68" s="219"/>
      <c r="L68" s="220"/>
      <c r="M68" s="212">
        <v>8.6999999999999993</v>
      </c>
      <c r="N68" s="118"/>
      <c r="O68" s="121"/>
      <c r="P68" s="205"/>
      <c r="Q68" s="120"/>
      <c r="R68" s="202"/>
      <c r="S68" s="212"/>
      <c r="T68" s="120"/>
    </row>
    <row r="69" spans="2:20" x14ac:dyDescent="0.25">
      <c r="B69" s="202">
        <v>168</v>
      </c>
      <c r="C69" s="203" t="s">
        <v>61</v>
      </c>
      <c r="D69" s="120">
        <v>5.0999999999999996</v>
      </c>
      <c r="E69" s="118"/>
      <c r="F69" s="121"/>
      <c r="G69" s="121"/>
      <c r="H69" s="121">
        <v>5.7</v>
      </c>
      <c r="I69" s="121">
        <v>3.8</v>
      </c>
      <c r="J69" s="120"/>
      <c r="K69" s="219"/>
      <c r="L69" s="220"/>
      <c r="M69" s="212">
        <v>10.199999999999999</v>
      </c>
      <c r="N69" s="118"/>
      <c r="O69" s="121"/>
      <c r="P69" s="205"/>
      <c r="Q69" s="120"/>
      <c r="R69" s="202"/>
      <c r="S69" s="212"/>
      <c r="T69" s="120"/>
    </row>
    <row r="70" spans="2:20" x14ac:dyDescent="0.25">
      <c r="B70" s="202">
        <v>169</v>
      </c>
      <c r="C70" s="203" t="s">
        <v>60</v>
      </c>
      <c r="D70" s="120">
        <v>26.7</v>
      </c>
      <c r="E70" s="118"/>
      <c r="F70" s="121"/>
      <c r="G70" s="121"/>
      <c r="H70" s="121">
        <v>13.9</v>
      </c>
      <c r="I70" s="121">
        <v>3.7</v>
      </c>
      <c r="J70" s="120"/>
      <c r="K70" s="219"/>
      <c r="L70" s="220"/>
      <c r="M70" s="212">
        <v>16.8</v>
      </c>
      <c r="N70" s="118"/>
      <c r="O70" s="121"/>
      <c r="P70" s="205"/>
      <c r="Q70" s="120"/>
      <c r="R70" s="202"/>
      <c r="S70" s="212"/>
      <c r="T70" s="120"/>
    </row>
    <row r="71" spans="2:20" x14ac:dyDescent="0.25">
      <c r="B71" s="202">
        <v>170</v>
      </c>
      <c r="C71" s="203" t="s">
        <v>12</v>
      </c>
      <c r="D71" s="120">
        <v>9.4</v>
      </c>
      <c r="E71" s="118">
        <f>9.2*3.2</f>
        <v>29.439999999999998</v>
      </c>
      <c r="F71" s="121"/>
      <c r="G71" s="121"/>
      <c r="H71" s="121"/>
      <c r="I71" s="121"/>
      <c r="J71" s="120"/>
      <c r="K71" s="219"/>
      <c r="L71" s="220"/>
      <c r="M71" s="212"/>
      <c r="N71" s="118"/>
      <c r="O71" s="121"/>
      <c r="P71" s="205"/>
      <c r="Q71" s="120"/>
      <c r="R71" s="202"/>
      <c r="S71" s="212"/>
      <c r="T71" s="120"/>
    </row>
    <row r="72" spans="2:20" x14ac:dyDescent="0.25">
      <c r="B72" s="202">
        <v>171</v>
      </c>
      <c r="C72" s="203" t="s">
        <v>12</v>
      </c>
      <c r="D72" s="120">
        <v>9.5</v>
      </c>
      <c r="E72" s="118"/>
      <c r="F72" s="121"/>
      <c r="G72" s="121">
        <f>15*3.1</f>
        <v>46.5</v>
      </c>
      <c r="H72" s="121"/>
      <c r="I72" s="121"/>
      <c r="J72" s="120"/>
      <c r="K72" s="219"/>
      <c r="L72" s="220"/>
      <c r="M72" s="212"/>
      <c r="N72" s="118"/>
      <c r="O72" s="121"/>
      <c r="P72" s="205"/>
      <c r="Q72" s="120"/>
      <c r="R72" s="202"/>
      <c r="S72" s="212"/>
      <c r="T72" s="120"/>
    </row>
    <row r="73" spans="2:20" x14ac:dyDescent="0.25">
      <c r="B73" s="202">
        <v>172</v>
      </c>
      <c r="C73" s="203" t="s">
        <v>62</v>
      </c>
      <c r="D73" s="120">
        <v>176.6</v>
      </c>
      <c r="E73" s="221">
        <f>53.7*3.315</f>
        <v>178.0155</v>
      </c>
      <c r="F73" s="209">
        <f>1.4*3.315</f>
        <v>4.641</v>
      </c>
      <c r="G73" s="121"/>
      <c r="H73" s="121">
        <f>5.6*3.315</f>
        <v>18.564</v>
      </c>
      <c r="I73" s="121"/>
      <c r="J73" s="120"/>
      <c r="K73" s="219"/>
      <c r="L73" s="220"/>
      <c r="M73" s="212"/>
      <c r="N73" s="118"/>
      <c r="O73" s="121"/>
      <c r="P73" s="205"/>
      <c r="Q73" s="120"/>
      <c r="R73" s="202"/>
      <c r="S73" s="212"/>
      <c r="T73" s="120"/>
    </row>
    <row r="74" spans="2:20" ht="15.75" thickBot="1" x14ac:dyDescent="0.3">
      <c r="B74" s="222">
        <v>173</v>
      </c>
      <c r="C74" s="223" t="s">
        <v>63</v>
      </c>
      <c r="D74" s="85">
        <v>2.2000000000000002</v>
      </c>
      <c r="E74" s="84"/>
      <c r="F74" s="224"/>
      <c r="G74" s="224"/>
      <c r="H74" s="224"/>
      <c r="I74" s="224"/>
      <c r="J74" s="85"/>
      <c r="K74" s="225"/>
      <c r="L74" s="226"/>
      <c r="M74" s="89"/>
      <c r="N74" s="84"/>
      <c r="O74" s="224"/>
      <c r="P74" s="227"/>
      <c r="Q74" s="85"/>
      <c r="R74" s="222"/>
      <c r="S74" s="89"/>
      <c r="T74" s="85"/>
    </row>
    <row r="75" spans="2:20" x14ac:dyDescent="0.25">
      <c r="B75" s="228"/>
      <c r="C75" s="229" t="s">
        <v>1</v>
      </c>
      <c r="D75" s="230">
        <f t="shared" ref="D75" si="0">SUM(D4:D74)</f>
        <v>1786.3999999999999</v>
      </c>
      <c r="E75" s="231">
        <f t="shared" ref="E75:J75" si="1">SUM(E4:E74)</f>
        <v>2356.1775000000002</v>
      </c>
      <c r="F75" s="232">
        <f t="shared" si="1"/>
        <v>699.12300000000005</v>
      </c>
      <c r="G75" s="232">
        <f t="shared" si="1"/>
        <v>97.277999999999992</v>
      </c>
      <c r="H75" s="232">
        <f t="shared" si="1"/>
        <v>280.26680000000005</v>
      </c>
      <c r="I75" s="232">
        <f t="shared" si="1"/>
        <v>233.54025000000001</v>
      </c>
      <c r="J75" s="230">
        <f t="shared" si="1"/>
        <v>5.5</v>
      </c>
      <c r="K75" s="233">
        <f>SUM(K13:K74)</f>
        <v>146.96500000000003</v>
      </c>
      <c r="L75" s="234">
        <f>SUM(L13:L74)</f>
        <v>10.424399999999999</v>
      </c>
      <c r="M75" s="90">
        <f>SUM(M4:M74)</f>
        <v>110.72000000000001</v>
      </c>
      <c r="N75" s="86">
        <f>SUM(N13:N74)</f>
        <v>3</v>
      </c>
      <c r="O75" s="138">
        <f>SUM(O13:O74)</f>
        <v>1</v>
      </c>
      <c r="P75" s="235">
        <f>SUM(P13:P74)</f>
        <v>2</v>
      </c>
      <c r="Q75" s="87">
        <f>SUM(Q13:Q74)</f>
        <v>4</v>
      </c>
      <c r="R75" s="139">
        <f>SUM(R20:R74)</f>
        <v>26.400000000000002</v>
      </c>
      <c r="S75" s="90">
        <f>SUM(S20:S74)</f>
        <v>18</v>
      </c>
      <c r="T75" s="87">
        <f>SUM(T20:T74)</f>
        <v>2</v>
      </c>
    </row>
    <row r="76" spans="2:20" ht="15.75" thickBot="1" x14ac:dyDescent="0.3">
      <c r="B76" s="145"/>
      <c r="C76" s="236" t="s">
        <v>96</v>
      </c>
      <c r="D76" s="237">
        <f>D75+gridas_2st!D51+'gridas_3 st'!D6</f>
        <v>3484.4999999999995</v>
      </c>
      <c r="E76" s="238">
        <f>E75+sienas_2st!E51</f>
        <v>4913.5431500000013</v>
      </c>
      <c r="F76" s="239">
        <f>F75+sienas_2st!F51</f>
        <v>1482.8491999999999</v>
      </c>
      <c r="G76" s="239">
        <f>G75+sienas_2st!G51</f>
        <v>144.01874999999998</v>
      </c>
      <c r="H76" s="239">
        <f>H75+sienas_2st!I51</f>
        <v>319.69680000000005</v>
      </c>
      <c r="I76" s="239">
        <f>I75+sienas_2st!J51</f>
        <v>304.35025000000002</v>
      </c>
      <c r="J76" s="240">
        <f>J75</f>
        <v>5.5</v>
      </c>
      <c r="K76" s="241">
        <f>K75+sienas_2st!L51</f>
        <v>304.16400000000004</v>
      </c>
      <c r="L76" s="242">
        <f>L75</f>
        <v>10.424399999999999</v>
      </c>
      <c r="M76" s="243">
        <f>M75+1.7</f>
        <v>112.42000000000002</v>
      </c>
      <c r="N76" s="141">
        <f>N75+sienas_2st!N51</f>
        <v>5</v>
      </c>
      <c r="O76" s="143">
        <f>O75+sienas_2st!O51</f>
        <v>2</v>
      </c>
      <c r="P76" s="244">
        <f>P75+sienas_2st!P51</f>
        <v>4</v>
      </c>
      <c r="Q76" s="98">
        <f>Q75+sienas_2st!Q51</f>
        <v>8</v>
      </c>
      <c r="R76" s="145">
        <f>R75+sienas_2st!R51</f>
        <v>58.900000000000006</v>
      </c>
      <c r="S76" s="144">
        <f>S75+sienas_2st!S51</f>
        <v>42</v>
      </c>
      <c r="T76" s="98">
        <f>T75+sienas_2st!T51</f>
        <v>3</v>
      </c>
    </row>
    <row r="77" spans="2:20" s="140" customFormat="1" ht="9" customHeight="1" x14ac:dyDescent="0.2">
      <c r="B77" s="245"/>
      <c r="C77" s="246"/>
      <c r="Q77" s="245"/>
      <c r="R77" s="245"/>
      <c r="S77" s="245"/>
    </row>
    <row r="78" spans="2:20" x14ac:dyDescent="0.25">
      <c r="B78" s="146" t="s">
        <v>149</v>
      </c>
      <c r="C78" s="147"/>
      <c r="D78" s="148"/>
      <c r="E78" s="148"/>
      <c r="F78" s="148"/>
      <c r="G78" s="148"/>
      <c r="H78" s="146" t="s">
        <v>150</v>
      </c>
      <c r="I78" s="146"/>
      <c r="J78" s="148"/>
      <c r="K78" s="149"/>
    </row>
    <row r="79" spans="2:20" x14ac:dyDescent="0.25">
      <c r="B79" s="146" t="s">
        <v>151</v>
      </c>
      <c r="C79" s="147"/>
      <c r="D79" s="148"/>
      <c r="E79" s="148"/>
      <c r="F79" s="148"/>
      <c r="G79" s="148"/>
      <c r="H79" s="146"/>
      <c r="I79" s="146" t="s">
        <v>103</v>
      </c>
      <c r="J79" s="148"/>
      <c r="K79" s="149"/>
    </row>
    <row r="80" spans="2:20" x14ac:dyDescent="0.25">
      <c r="B80" s="150"/>
      <c r="C80" s="146" t="s">
        <v>98</v>
      </c>
      <c r="D80" s="148"/>
      <c r="E80" s="148"/>
      <c r="F80" s="148"/>
      <c r="G80" s="148"/>
      <c r="H80" s="146"/>
      <c r="I80" s="146" t="s">
        <v>102</v>
      </c>
      <c r="J80" s="148"/>
      <c r="K80" s="149"/>
    </row>
    <row r="81" spans="4:11" x14ac:dyDescent="0.25">
      <c r="D81" s="148"/>
      <c r="E81" s="148"/>
      <c r="F81" s="148"/>
      <c r="G81" s="148"/>
      <c r="H81" s="146"/>
      <c r="I81" s="146" t="s">
        <v>115</v>
      </c>
      <c r="J81" s="148"/>
      <c r="K81" s="149"/>
    </row>
    <row r="82" spans="4:11" x14ac:dyDescent="0.25">
      <c r="D82" s="148"/>
      <c r="E82" s="148"/>
      <c r="F82" s="148"/>
      <c r="G82" s="148"/>
      <c r="H82" s="148"/>
      <c r="I82" s="148"/>
      <c r="J82" s="148"/>
      <c r="K82" s="149"/>
    </row>
    <row r="83" spans="4:11" x14ac:dyDescent="0.25">
      <c r="D83" s="148"/>
      <c r="E83" s="148"/>
      <c r="F83" s="148"/>
      <c r="G83" s="148"/>
      <c r="H83" s="148"/>
      <c r="I83" s="148"/>
      <c r="J83" s="148"/>
      <c r="K83" s="149"/>
    </row>
  </sheetData>
  <mergeCells count="2">
    <mergeCell ref="E2:Q2"/>
    <mergeCell ref="R2:T2"/>
  </mergeCells>
  <pageMargins left="0.7" right="0.7" top="0.75" bottom="0.75" header="0.3" footer="0.3"/>
  <pageSetup paperSize="257" orientation="portrait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9"/>
  <sheetViews>
    <sheetView zoomScale="70" zoomScaleNormal="70" workbookViewId="0">
      <pane ySplit="3" topLeftCell="A4" activePane="bottomLeft" state="frozen"/>
      <selection pane="bottomLeft" activeCell="AA37" sqref="AA37"/>
    </sheetView>
  </sheetViews>
  <sheetFormatPr defaultRowHeight="15" x14ac:dyDescent="0.25"/>
  <cols>
    <col min="1" max="1" width="3.85546875" style="103" customWidth="1"/>
    <col min="2" max="2" width="5.7109375" style="102" customWidth="1"/>
    <col min="3" max="3" width="26" style="103" customWidth="1"/>
    <col min="4" max="4" width="11.5703125" style="102" customWidth="1"/>
    <col min="5" max="8" width="10" style="103" bestFit="1" customWidth="1"/>
    <col min="9" max="10" width="9.85546875" style="103" customWidth="1"/>
    <col min="11" max="11" width="7" style="103" customWidth="1"/>
    <col min="12" max="12" width="8.85546875" style="103" customWidth="1"/>
    <col min="13" max="13" width="9.140625" style="103" customWidth="1"/>
    <col min="14" max="14" width="4" style="103" bestFit="1" customWidth="1"/>
    <col min="15" max="15" width="6.140625" style="103" customWidth="1"/>
    <col min="16" max="17" width="4" style="103" bestFit="1" customWidth="1"/>
    <col min="18" max="18" width="4.140625" style="103" customWidth="1"/>
    <col min="19" max="19" width="6.5703125" style="103" customWidth="1"/>
    <col min="20" max="20" width="6.140625" style="103" customWidth="1"/>
    <col min="21" max="16384" width="9.140625" style="103"/>
  </cols>
  <sheetData>
    <row r="1" spans="2:20" ht="18.75" customHeight="1" thickBot="1" x14ac:dyDescent="0.3"/>
    <row r="2" spans="2:20" ht="18" thickBot="1" x14ac:dyDescent="0.3">
      <c r="E2" s="616" t="s">
        <v>160</v>
      </c>
      <c r="F2" s="617"/>
      <c r="G2" s="617"/>
      <c r="H2" s="617"/>
      <c r="I2" s="617"/>
      <c r="J2" s="617"/>
      <c r="K2" s="617"/>
      <c r="L2" s="616" t="s">
        <v>177</v>
      </c>
      <c r="M2" s="618"/>
      <c r="N2" s="616" t="s">
        <v>132</v>
      </c>
      <c r="O2" s="617"/>
      <c r="P2" s="617"/>
      <c r="Q2" s="618"/>
      <c r="R2" s="616" t="s">
        <v>17</v>
      </c>
      <c r="S2" s="617"/>
      <c r="T2" s="618"/>
    </row>
    <row r="3" spans="2:20" ht="219.75" customHeight="1" thickBot="1" x14ac:dyDescent="0.3">
      <c r="B3" s="104" t="s">
        <v>5</v>
      </c>
      <c r="C3" s="105" t="s">
        <v>3</v>
      </c>
      <c r="D3" s="106" t="s">
        <v>138</v>
      </c>
      <c r="E3" s="187" t="s">
        <v>161</v>
      </c>
      <c r="F3" s="188" t="s">
        <v>162</v>
      </c>
      <c r="G3" s="188" t="s">
        <v>163</v>
      </c>
      <c r="H3" s="188" t="s">
        <v>178</v>
      </c>
      <c r="I3" s="247" t="s">
        <v>164</v>
      </c>
      <c r="J3" s="315" t="s">
        <v>165</v>
      </c>
      <c r="K3" s="112" t="s">
        <v>179</v>
      </c>
      <c r="L3" s="107" t="s">
        <v>167</v>
      </c>
      <c r="M3" s="190" t="s">
        <v>180</v>
      </c>
      <c r="N3" s="107" t="s">
        <v>170</v>
      </c>
      <c r="O3" s="109" t="s">
        <v>171</v>
      </c>
      <c r="P3" s="109" t="s">
        <v>172</v>
      </c>
      <c r="Q3" s="112" t="s">
        <v>181</v>
      </c>
      <c r="R3" s="193" t="s">
        <v>174</v>
      </c>
      <c r="S3" s="108" t="s">
        <v>175</v>
      </c>
      <c r="T3" s="248" t="s">
        <v>176</v>
      </c>
    </row>
    <row r="4" spans="2:20" x14ac:dyDescent="0.25">
      <c r="B4" s="82">
        <v>201</v>
      </c>
      <c r="C4" s="113" t="s">
        <v>16</v>
      </c>
      <c r="D4" s="88">
        <v>73.5</v>
      </c>
      <c r="E4" s="249">
        <f>65.3*3.6</f>
        <v>235.07999999999998</v>
      </c>
      <c r="F4" s="250"/>
      <c r="G4" s="114"/>
      <c r="H4" s="251"/>
      <c r="I4" s="251"/>
      <c r="J4" s="251"/>
      <c r="K4" s="83"/>
      <c r="L4" s="252"/>
      <c r="M4" s="115"/>
      <c r="N4" s="253"/>
      <c r="O4" s="254"/>
      <c r="P4" s="254"/>
      <c r="Q4" s="255"/>
      <c r="R4" s="256"/>
      <c r="S4" s="254"/>
      <c r="T4" s="257"/>
    </row>
    <row r="5" spans="2:20" x14ac:dyDescent="0.25">
      <c r="B5" s="118">
        <v>202</v>
      </c>
      <c r="C5" s="119" t="s">
        <v>64</v>
      </c>
      <c r="D5" s="212">
        <v>45.2</v>
      </c>
      <c r="E5" s="258">
        <f>27.6*2.8</f>
        <v>77.28</v>
      </c>
      <c r="F5" s="259"/>
      <c r="G5" s="121"/>
      <c r="H5" s="220"/>
      <c r="I5" s="220"/>
      <c r="J5" s="220"/>
      <c r="K5" s="120"/>
      <c r="L5" s="125"/>
      <c r="M5" s="122"/>
      <c r="N5" s="260"/>
      <c r="O5" s="261"/>
      <c r="P5" s="261"/>
      <c r="Q5" s="262"/>
      <c r="R5" s="263"/>
      <c r="S5" s="261"/>
      <c r="T5" s="264"/>
    </row>
    <row r="6" spans="2:20" x14ac:dyDescent="0.25">
      <c r="B6" s="118">
        <v>203</v>
      </c>
      <c r="C6" s="119" t="s">
        <v>64</v>
      </c>
      <c r="D6" s="212">
        <v>45.2</v>
      </c>
      <c r="E6" s="258">
        <f>27.6*2.8</f>
        <v>77.28</v>
      </c>
      <c r="F6" s="259"/>
      <c r="G6" s="121"/>
      <c r="H6" s="220"/>
      <c r="I6" s="220"/>
      <c r="J6" s="220"/>
      <c r="K6" s="120"/>
      <c r="L6" s="125"/>
      <c r="M6" s="122"/>
      <c r="N6" s="260"/>
      <c r="O6" s="261"/>
      <c r="P6" s="261"/>
      <c r="Q6" s="262"/>
      <c r="R6" s="263"/>
      <c r="S6" s="261"/>
      <c r="T6" s="264"/>
    </row>
    <row r="7" spans="2:20" x14ac:dyDescent="0.25">
      <c r="B7" s="118">
        <v>204</v>
      </c>
      <c r="C7" s="119" t="s">
        <v>16</v>
      </c>
      <c r="D7" s="212">
        <v>37.299999999999997</v>
      </c>
      <c r="E7" s="258">
        <f>40.7*2.57</f>
        <v>104.599</v>
      </c>
      <c r="F7" s="259">
        <f>1.8*2.57</f>
        <v>4.6259999999999994</v>
      </c>
      <c r="G7" s="121"/>
      <c r="H7" s="220"/>
      <c r="I7" s="220"/>
      <c r="J7" s="220"/>
      <c r="K7" s="120">
        <v>1.1000000000000001</v>
      </c>
      <c r="L7" s="125"/>
      <c r="M7" s="122"/>
      <c r="N7" s="260"/>
      <c r="O7" s="261"/>
      <c r="P7" s="261"/>
      <c r="Q7" s="262"/>
      <c r="R7" s="263"/>
      <c r="S7" s="261"/>
      <c r="T7" s="264"/>
    </row>
    <row r="8" spans="2:20" x14ac:dyDescent="0.25">
      <c r="B8" s="118">
        <v>205</v>
      </c>
      <c r="C8" s="119" t="s">
        <v>65</v>
      </c>
      <c r="D8" s="212">
        <v>18.7</v>
      </c>
      <c r="E8" s="258"/>
      <c r="F8" s="259"/>
      <c r="G8" s="209">
        <f>3.35*3.045</f>
        <v>10.200749999999999</v>
      </c>
      <c r="H8" s="211">
        <f>14.5*3.045</f>
        <v>44.152499999999996</v>
      </c>
      <c r="I8" s="220"/>
      <c r="J8" s="220"/>
      <c r="K8" s="120"/>
      <c r="L8" s="125"/>
      <c r="M8" s="122"/>
      <c r="N8" s="260"/>
      <c r="O8" s="261"/>
      <c r="P8" s="261"/>
      <c r="Q8" s="262"/>
      <c r="R8" s="263"/>
      <c r="S8" s="261"/>
      <c r="T8" s="264"/>
    </row>
    <row r="9" spans="2:20" x14ac:dyDescent="0.25">
      <c r="B9" s="125">
        <v>206</v>
      </c>
      <c r="C9" s="126" t="s">
        <v>17</v>
      </c>
      <c r="D9" s="122">
        <v>4.9000000000000004</v>
      </c>
      <c r="E9" s="258"/>
      <c r="F9" s="259"/>
      <c r="G9" s="121"/>
      <c r="H9" s="220"/>
      <c r="I9" s="211">
        <f>8.1*1.3</f>
        <v>10.53</v>
      </c>
      <c r="J9" s="211">
        <f>1.7*1.3</f>
        <v>2.21</v>
      </c>
      <c r="K9" s="120"/>
      <c r="L9" s="221">
        <f>465*0.0238</f>
        <v>11.067</v>
      </c>
      <c r="M9" s="265">
        <f>17*0.0238</f>
        <v>0.40460000000000002</v>
      </c>
      <c r="N9" s="266">
        <v>1</v>
      </c>
      <c r="O9" s="267"/>
      <c r="P9" s="267"/>
      <c r="Q9" s="268"/>
      <c r="R9" s="269"/>
      <c r="S9" s="267"/>
      <c r="T9" s="270"/>
    </row>
    <row r="10" spans="2:20" x14ac:dyDescent="0.25">
      <c r="B10" s="118">
        <v>207</v>
      </c>
      <c r="C10" s="119" t="s">
        <v>66</v>
      </c>
      <c r="D10" s="212">
        <v>22.3</v>
      </c>
      <c r="E10" s="258">
        <f>10.72*3.045</f>
        <v>32.642400000000002</v>
      </c>
      <c r="F10" s="271">
        <f>12.3*3.045</f>
        <v>37.453499999999998</v>
      </c>
      <c r="G10" s="121"/>
      <c r="H10" s="220"/>
      <c r="I10" s="220"/>
      <c r="J10" s="220"/>
      <c r="K10" s="120"/>
      <c r="L10" s="125"/>
      <c r="M10" s="122"/>
      <c r="N10" s="260"/>
      <c r="O10" s="261"/>
      <c r="P10" s="261"/>
      <c r="Q10" s="262"/>
      <c r="R10" s="263"/>
      <c r="S10" s="261"/>
      <c r="T10" s="264"/>
    </row>
    <row r="11" spans="2:20" x14ac:dyDescent="0.25">
      <c r="B11" s="118">
        <v>208</v>
      </c>
      <c r="C11" s="119" t="s">
        <v>67</v>
      </c>
      <c r="D11" s="212">
        <v>37.6</v>
      </c>
      <c r="E11" s="258">
        <f>13.1*3.045</f>
        <v>39.889499999999998</v>
      </c>
      <c r="F11" s="259">
        <f>11.5*3.045</f>
        <v>35.017499999999998</v>
      </c>
      <c r="G11" s="121"/>
      <c r="H11" s="220"/>
      <c r="I11" s="220"/>
      <c r="J11" s="220"/>
      <c r="K11" s="120"/>
      <c r="L11" s="125"/>
      <c r="M11" s="122"/>
      <c r="N11" s="260"/>
      <c r="O11" s="261"/>
      <c r="P11" s="261"/>
      <c r="Q11" s="262"/>
      <c r="R11" s="263"/>
      <c r="S11" s="261"/>
      <c r="T11" s="264"/>
    </row>
    <row r="12" spans="2:20" x14ac:dyDescent="0.25">
      <c r="B12" s="118">
        <v>209</v>
      </c>
      <c r="C12" s="119" t="s">
        <v>22</v>
      </c>
      <c r="D12" s="212">
        <v>12.7</v>
      </c>
      <c r="E12" s="258">
        <f>4.5*2.57</f>
        <v>11.565</v>
      </c>
      <c r="F12" s="259">
        <f>11.5*2.57</f>
        <v>29.555</v>
      </c>
      <c r="G12" s="121"/>
      <c r="H12" s="220"/>
      <c r="I12" s="220"/>
      <c r="J12" s="220"/>
      <c r="K12" s="120"/>
      <c r="L12" s="125"/>
      <c r="M12" s="122"/>
      <c r="N12" s="260"/>
      <c r="O12" s="261"/>
      <c r="P12" s="261"/>
      <c r="Q12" s="262"/>
      <c r="R12" s="263"/>
      <c r="S12" s="261"/>
      <c r="T12" s="264"/>
    </row>
    <row r="13" spans="2:20" x14ac:dyDescent="0.25">
      <c r="B13" s="118">
        <v>210</v>
      </c>
      <c r="C13" s="119" t="s">
        <v>23</v>
      </c>
      <c r="D13" s="212">
        <v>2.7</v>
      </c>
      <c r="E13" s="258">
        <v>4.5</v>
      </c>
      <c r="F13" s="259">
        <v>6.7</v>
      </c>
      <c r="G13" s="121"/>
      <c r="H13" s="121"/>
      <c r="I13" s="121"/>
      <c r="J13" s="121"/>
      <c r="K13" s="120"/>
      <c r="L13" s="221">
        <f>290*0.0238</f>
        <v>6.9020000000000001</v>
      </c>
      <c r="M13" s="212"/>
      <c r="N13" s="266"/>
      <c r="O13" s="267"/>
      <c r="P13" s="267"/>
      <c r="Q13" s="268"/>
      <c r="R13" s="269"/>
      <c r="S13" s="267"/>
      <c r="T13" s="270"/>
    </row>
    <row r="14" spans="2:20" s="140" customFormat="1" x14ac:dyDescent="0.25">
      <c r="B14" s="125">
        <v>211</v>
      </c>
      <c r="C14" s="119" t="s">
        <v>17</v>
      </c>
      <c r="D14" s="212">
        <v>2.5</v>
      </c>
      <c r="E14" s="258"/>
      <c r="F14" s="259">
        <v>15.8</v>
      </c>
      <c r="G14" s="121"/>
      <c r="H14" s="121"/>
      <c r="I14" s="121"/>
      <c r="J14" s="121"/>
      <c r="K14" s="120"/>
      <c r="L14" s="221">
        <f>116*0.0238</f>
        <v>2.7608000000000001</v>
      </c>
      <c r="M14" s="212"/>
      <c r="N14" s="266">
        <v>1</v>
      </c>
      <c r="O14" s="267"/>
      <c r="P14" s="267"/>
      <c r="Q14" s="268"/>
      <c r="R14" s="269">
        <v>0.3</v>
      </c>
      <c r="S14" s="267"/>
      <c r="T14" s="270">
        <v>1</v>
      </c>
    </row>
    <row r="15" spans="2:20" s="140" customFormat="1" x14ac:dyDescent="0.25">
      <c r="B15" s="118">
        <v>212</v>
      </c>
      <c r="C15" s="119" t="s">
        <v>24</v>
      </c>
      <c r="D15" s="212">
        <v>8.1</v>
      </c>
      <c r="E15" s="258">
        <f>5.1*2.57</f>
        <v>13.106999999999998</v>
      </c>
      <c r="F15" s="259">
        <f>6.3*2.57</f>
        <v>16.190999999999999</v>
      </c>
      <c r="G15" s="121"/>
      <c r="H15" s="121"/>
      <c r="I15" s="121"/>
      <c r="J15" s="121"/>
      <c r="K15" s="120"/>
      <c r="L15" s="118"/>
      <c r="M15" s="212"/>
      <c r="N15" s="266"/>
      <c r="O15" s="267"/>
      <c r="P15" s="267"/>
      <c r="Q15" s="268"/>
      <c r="R15" s="269"/>
      <c r="S15" s="267"/>
      <c r="T15" s="270"/>
    </row>
    <row r="16" spans="2:20" x14ac:dyDescent="0.25">
      <c r="B16" s="118">
        <v>213</v>
      </c>
      <c r="C16" s="119" t="s">
        <v>11</v>
      </c>
      <c r="D16" s="212">
        <v>24.1</v>
      </c>
      <c r="E16" s="258">
        <f>58.3+40.4</f>
        <v>98.699999999999989</v>
      </c>
      <c r="F16" s="259"/>
      <c r="G16" s="121"/>
      <c r="H16" s="121"/>
      <c r="I16" s="121"/>
      <c r="J16" s="121"/>
      <c r="K16" s="120">
        <v>1.1000000000000001</v>
      </c>
      <c r="L16" s="118"/>
      <c r="M16" s="212"/>
      <c r="N16" s="266"/>
      <c r="O16" s="267"/>
      <c r="P16" s="267"/>
      <c r="Q16" s="268"/>
      <c r="R16" s="269"/>
      <c r="S16" s="267"/>
      <c r="T16" s="270"/>
    </row>
    <row r="17" spans="2:20" x14ac:dyDescent="0.25">
      <c r="B17" s="118">
        <v>214</v>
      </c>
      <c r="C17" s="119" t="s">
        <v>68</v>
      </c>
      <c r="D17" s="212">
        <v>14.5</v>
      </c>
      <c r="E17" s="258"/>
      <c r="F17" s="259"/>
      <c r="G17" s="121"/>
      <c r="H17" s="121"/>
      <c r="I17" s="121">
        <v>3.9</v>
      </c>
      <c r="J17" s="121">
        <v>12.8</v>
      </c>
      <c r="K17" s="120"/>
      <c r="L17" s="221">
        <f>951*0.0238</f>
        <v>22.633800000000001</v>
      </c>
      <c r="M17" s="265">
        <f>76*0.0238</f>
        <v>1.8088000000000002</v>
      </c>
      <c r="N17" s="266"/>
      <c r="O17" s="267"/>
      <c r="P17" s="267">
        <v>1</v>
      </c>
      <c r="Q17" s="268"/>
      <c r="R17" s="269">
        <v>5.3</v>
      </c>
      <c r="S17" s="267">
        <v>4</v>
      </c>
      <c r="T17" s="270"/>
    </row>
    <row r="18" spans="2:20" x14ac:dyDescent="0.25">
      <c r="B18" s="118">
        <v>215</v>
      </c>
      <c r="C18" s="119" t="s">
        <v>69</v>
      </c>
      <c r="D18" s="212">
        <v>48.5</v>
      </c>
      <c r="E18" s="258">
        <f>14.4*3.045</f>
        <v>43.847999999999999</v>
      </c>
      <c r="F18" s="259">
        <f>14.4*3.045</f>
        <v>43.847999999999999</v>
      </c>
      <c r="G18" s="121"/>
      <c r="H18" s="121"/>
      <c r="I18" s="121"/>
      <c r="J18" s="121"/>
      <c r="K18" s="120"/>
      <c r="L18" s="118"/>
      <c r="M18" s="212"/>
      <c r="N18" s="266"/>
      <c r="O18" s="267"/>
      <c r="P18" s="267"/>
      <c r="Q18" s="268"/>
      <c r="R18" s="269"/>
      <c r="S18" s="267"/>
      <c r="T18" s="270"/>
    </row>
    <row r="19" spans="2:20" x14ac:dyDescent="0.25">
      <c r="B19" s="125">
        <v>216</v>
      </c>
      <c r="C19" s="119" t="s">
        <v>70</v>
      </c>
      <c r="D19" s="212">
        <v>73.8</v>
      </c>
      <c r="E19" s="258">
        <f>33.9*3.045</f>
        <v>103.2255</v>
      </c>
      <c r="F19" s="259">
        <f>3.55*2.57</f>
        <v>9.1234999999999982</v>
      </c>
      <c r="G19" s="121"/>
      <c r="H19" s="121"/>
      <c r="I19" s="121"/>
      <c r="J19" s="121"/>
      <c r="K19" s="120"/>
      <c r="L19" s="118"/>
      <c r="M19" s="212"/>
      <c r="N19" s="266"/>
      <c r="O19" s="267"/>
      <c r="P19" s="267"/>
      <c r="Q19" s="268"/>
      <c r="R19" s="269"/>
      <c r="S19" s="267"/>
      <c r="T19" s="270"/>
    </row>
    <row r="20" spans="2:20" x14ac:dyDescent="0.25">
      <c r="B20" s="118">
        <v>217</v>
      </c>
      <c r="C20" s="119" t="s">
        <v>71</v>
      </c>
      <c r="D20" s="212">
        <v>22.7</v>
      </c>
      <c r="E20" s="258">
        <f>16.5*2.57</f>
        <v>42.404999999999994</v>
      </c>
      <c r="F20" s="271">
        <f>10.5*2.57</f>
        <v>26.984999999999999</v>
      </c>
      <c r="G20" s="121"/>
      <c r="H20" s="121"/>
      <c r="I20" s="121"/>
      <c r="J20" s="121"/>
      <c r="K20" s="120"/>
      <c r="L20" s="118"/>
      <c r="M20" s="212"/>
      <c r="N20" s="266"/>
      <c r="O20" s="267"/>
      <c r="P20" s="267"/>
      <c r="Q20" s="268"/>
      <c r="R20" s="269"/>
      <c r="S20" s="267"/>
      <c r="T20" s="270"/>
    </row>
    <row r="21" spans="2:20" x14ac:dyDescent="0.25">
      <c r="B21" s="118">
        <v>218</v>
      </c>
      <c r="C21" s="119" t="s">
        <v>72</v>
      </c>
      <c r="D21" s="212">
        <v>50</v>
      </c>
      <c r="E21" s="258">
        <f>14.1*3.045</f>
        <v>42.9345</v>
      </c>
      <c r="F21" s="259">
        <f>14.1*3.045</f>
        <v>42.9345</v>
      </c>
      <c r="G21" s="121"/>
      <c r="H21" s="121"/>
      <c r="I21" s="121"/>
      <c r="J21" s="121"/>
      <c r="K21" s="120"/>
      <c r="L21" s="118"/>
      <c r="M21" s="212"/>
      <c r="N21" s="266"/>
      <c r="O21" s="267"/>
      <c r="P21" s="267"/>
      <c r="Q21" s="268"/>
      <c r="R21" s="269"/>
      <c r="S21" s="267"/>
      <c r="T21" s="270"/>
    </row>
    <row r="22" spans="2:20" x14ac:dyDescent="0.25">
      <c r="B22" s="118">
        <v>219</v>
      </c>
      <c r="C22" s="119" t="s">
        <v>73</v>
      </c>
      <c r="D22" s="212">
        <v>73.8</v>
      </c>
      <c r="E22" s="258">
        <f>29*3.045</f>
        <v>88.304999999999993</v>
      </c>
      <c r="F22" s="259">
        <f>6.55*3.045</f>
        <v>19.944749999999999</v>
      </c>
      <c r="G22" s="121"/>
      <c r="H22" s="121"/>
      <c r="I22" s="121"/>
      <c r="J22" s="121"/>
      <c r="K22" s="120"/>
      <c r="L22" s="118"/>
      <c r="M22" s="212"/>
      <c r="N22" s="266"/>
      <c r="O22" s="267"/>
      <c r="P22" s="267"/>
      <c r="Q22" s="268"/>
      <c r="R22" s="269"/>
      <c r="S22" s="267"/>
      <c r="T22" s="270"/>
    </row>
    <row r="23" spans="2:20" x14ac:dyDescent="0.25">
      <c r="B23" s="118">
        <v>220</v>
      </c>
      <c r="C23" s="119" t="s">
        <v>74</v>
      </c>
      <c r="D23" s="212">
        <v>22.2</v>
      </c>
      <c r="E23" s="258">
        <f>11.5*2.57</f>
        <v>29.555</v>
      </c>
      <c r="F23" s="259">
        <f>10*2.57</f>
        <v>25.7</v>
      </c>
      <c r="G23" s="121"/>
      <c r="H23" s="121"/>
      <c r="I23" s="121"/>
      <c r="J23" s="121"/>
      <c r="K23" s="120"/>
      <c r="L23" s="118"/>
      <c r="M23" s="212"/>
      <c r="N23" s="266"/>
      <c r="O23" s="267"/>
      <c r="P23" s="267"/>
      <c r="Q23" s="268"/>
      <c r="R23" s="269"/>
      <c r="S23" s="267"/>
      <c r="T23" s="270"/>
    </row>
    <row r="24" spans="2:20" x14ac:dyDescent="0.25">
      <c r="B24" s="125">
        <v>221</v>
      </c>
      <c r="C24" s="119" t="s">
        <v>75</v>
      </c>
      <c r="D24" s="212">
        <v>33.200000000000003</v>
      </c>
      <c r="E24" s="258"/>
      <c r="F24" s="259"/>
      <c r="G24" s="121"/>
      <c r="H24" s="121"/>
      <c r="I24" s="121">
        <v>8.6</v>
      </c>
      <c r="J24" s="121">
        <v>17.5</v>
      </c>
      <c r="K24" s="120"/>
      <c r="L24" s="221">
        <f>1670*0.0238</f>
        <v>39.746000000000002</v>
      </c>
      <c r="M24" s="265">
        <f>137*0.0238</f>
        <v>3.2606000000000002</v>
      </c>
      <c r="N24" s="266"/>
      <c r="O24" s="267"/>
      <c r="P24" s="267"/>
      <c r="Q24" s="268">
        <v>2</v>
      </c>
      <c r="R24" s="269">
        <v>10.8</v>
      </c>
      <c r="S24" s="267">
        <v>8</v>
      </c>
      <c r="T24" s="270"/>
    </row>
    <row r="25" spans="2:20" x14ac:dyDescent="0.25">
      <c r="B25" s="118">
        <v>222</v>
      </c>
      <c r="C25" s="119" t="s">
        <v>76</v>
      </c>
      <c r="D25" s="212">
        <v>21.9</v>
      </c>
      <c r="E25" s="258">
        <f>11.5*2.57</f>
        <v>29.555</v>
      </c>
      <c r="F25" s="259">
        <f>10*2.57</f>
        <v>25.7</v>
      </c>
      <c r="G25" s="121"/>
      <c r="H25" s="121"/>
      <c r="I25" s="121"/>
      <c r="J25" s="121"/>
      <c r="K25" s="120"/>
      <c r="L25" s="221"/>
      <c r="M25" s="265"/>
      <c r="N25" s="266"/>
      <c r="O25" s="267"/>
      <c r="P25" s="267"/>
      <c r="Q25" s="268"/>
      <c r="R25" s="269"/>
      <c r="S25" s="267"/>
      <c r="T25" s="270"/>
    </row>
    <row r="26" spans="2:20" x14ac:dyDescent="0.25">
      <c r="B26" s="118">
        <v>223</v>
      </c>
      <c r="C26" s="119" t="s">
        <v>78</v>
      </c>
      <c r="D26" s="212">
        <v>73.8</v>
      </c>
      <c r="E26" s="258">
        <f>29*3.045</f>
        <v>88.304999999999993</v>
      </c>
      <c r="F26" s="259">
        <f>6.55*3.045</f>
        <v>19.944749999999999</v>
      </c>
      <c r="G26" s="121"/>
      <c r="H26" s="121"/>
      <c r="I26" s="121"/>
      <c r="J26" s="121"/>
      <c r="K26" s="120"/>
      <c r="L26" s="221"/>
      <c r="M26" s="265"/>
      <c r="N26" s="266"/>
      <c r="O26" s="267"/>
      <c r="P26" s="267"/>
      <c r="Q26" s="268"/>
      <c r="R26" s="269"/>
      <c r="S26" s="267"/>
      <c r="T26" s="270"/>
    </row>
    <row r="27" spans="2:20" x14ac:dyDescent="0.25">
      <c r="B27" s="118">
        <v>224</v>
      </c>
      <c r="C27" s="119" t="s">
        <v>77</v>
      </c>
      <c r="D27" s="212">
        <v>59.4</v>
      </c>
      <c r="E27" s="258">
        <f>22.4*3.045</f>
        <v>68.207999999999998</v>
      </c>
      <c r="F27" s="259">
        <f>8.4*3.045</f>
        <v>25.577999999999999</v>
      </c>
      <c r="G27" s="121"/>
      <c r="H27" s="121"/>
      <c r="I27" s="121"/>
      <c r="J27" s="121"/>
      <c r="K27" s="120"/>
      <c r="L27" s="221"/>
      <c r="M27" s="265"/>
      <c r="N27" s="266"/>
      <c r="O27" s="267"/>
      <c r="P27" s="267"/>
      <c r="Q27" s="268"/>
      <c r="R27" s="269"/>
      <c r="S27" s="267"/>
      <c r="T27" s="270"/>
    </row>
    <row r="28" spans="2:20" x14ac:dyDescent="0.25">
      <c r="B28" s="118">
        <v>225</v>
      </c>
      <c r="C28" s="119" t="s">
        <v>79</v>
      </c>
      <c r="D28" s="212">
        <v>59.4</v>
      </c>
      <c r="E28" s="258">
        <f>22.4*3.045</f>
        <v>68.207999999999998</v>
      </c>
      <c r="F28" s="259">
        <f>8.4*3.045</f>
        <v>25.577999999999999</v>
      </c>
      <c r="G28" s="121"/>
      <c r="H28" s="121"/>
      <c r="I28" s="121"/>
      <c r="J28" s="121"/>
      <c r="K28" s="120"/>
      <c r="L28" s="221"/>
      <c r="M28" s="265"/>
      <c r="N28" s="266"/>
      <c r="O28" s="267"/>
      <c r="P28" s="267"/>
      <c r="Q28" s="268"/>
      <c r="R28" s="269"/>
      <c r="S28" s="267"/>
      <c r="T28" s="270"/>
    </row>
    <row r="29" spans="2:20" x14ac:dyDescent="0.25">
      <c r="B29" s="125">
        <v>226</v>
      </c>
      <c r="C29" s="119" t="s">
        <v>80</v>
      </c>
      <c r="D29" s="212">
        <v>73.8</v>
      </c>
      <c r="E29" s="258">
        <f>29*3.045</f>
        <v>88.304999999999993</v>
      </c>
      <c r="F29" s="259">
        <f>6.55*3.045</f>
        <v>19.944749999999999</v>
      </c>
      <c r="G29" s="121"/>
      <c r="H29" s="121"/>
      <c r="I29" s="121"/>
      <c r="J29" s="121"/>
      <c r="K29" s="120"/>
      <c r="L29" s="221"/>
      <c r="M29" s="265"/>
      <c r="N29" s="266"/>
      <c r="O29" s="267"/>
      <c r="P29" s="267"/>
      <c r="Q29" s="268"/>
      <c r="R29" s="269"/>
      <c r="S29" s="267"/>
      <c r="T29" s="270"/>
    </row>
    <row r="30" spans="2:20" x14ac:dyDescent="0.25">
      <c r="B30" s="118">
        <v>227</v>
      </c>
      <c r="C30" s="119" t="s">
        <v>81</v>
      </c>
      <c r="D30" s="212">
        <v>21.9</v>
      </c>
      <c r="E30" s="258">
        <f>11.5*2.57</f>
        <v>29.555</v>
      </c>
      <c r="F30" s="259">
        <f>10*2.57</f>
        <v>25.7</v>
      </c>
      <c r="G30" s="121"/>
      <c r="H30" s="121"/>
      <c r="I30" s="121"/>
      <c r="J30" s="121"/>
      <c r="K30" s="120"/>
      <c r="L30" s="221"/>
      <c r="M30" s="265"/>
      <c r="N30" s="266"/>
      <c r="O30" s="267"/>
      <c r="P30" s="267"/>
      <c r="Q30" s="268"/>
      <c r="R30" s="269"/>
      <c r="S30" s="267"/>
      <c r="T30" s="270"/>
    </row>
    <row r="31" spans="2:20" x14ac:dyDescent="0.25">
      <c r="B31" s="118">
        <v>228</v>
      </c>
      <c r="C31" s="119" t="s">
        <v>82</v>
      </c>
      <c r="D31" s="212">
        <v>33.200000000000003</v>
      </c>
      <c r="E31" s="258"/>
      <c r="F31" s="259"/>
      <c r="G31" s="121"/>
      <c r="H31" s="121"/>
      <c r="I31" s="121">
        <v>8.6</v>
      </c>
      <c r="J31" s="121">
        <v>17.5</v>
      </c>
      <c r="K31" s="120"/>
      <c r="L31" s="221">
        <f>1670*0.0238</f>
        <v>39.746000000000002</v>
      </c>
      <c r="M31" s="265">
        <f>137*0.0238</f>
        <v>3.2606000000000002</v>
      </c>
      <c r="N31" s="266"/>
      <c r="O31" s="267"/>
      <c r="P31" s="267"/>
      <c r="Q31" s="268">
        <v>2</v>
      </c>
      <c r="R31" s="269">
        <v>10.8</v>
      </c>
      <c r="S31" s="267">
        <v>8</v>
      </c>
      <c r="T31" s="270"/>
    </row>
    <row r="32" spans="2:20" x14ac:dyDescent="0.25">
      <c r="B32" s="118">
        <v>229</v>
      </c>
      <c r="C32" s="119" t="s">
        <v>83</v>
      </c>
      <c r="D32" s="212">
        <v>22.2</v>
      </c>
      <c r="E32" s="258">
        <f>11.5*2.57</f>
        <v>29.555</v>
      </c>
      <c r="F32" s="259">
        <f>10*2.57</f>
        <v>25.7</v>
      </c>
      <c r="G32" s="121"/>
      <c r="H32" s="121"/>
      <c r="I32" s="121"/>
      <c r="J32" s="121"/>
      <c r="K32" s="120"/>
      <c r="L32" s="221"/>
      <c r="M32" s="265"/>
      <c r="N32" s="266"/>
      <c r="O32" s="267"/>
      <c r="P32" s="267"/>
      <c r="Q32" s="268"/>
      <c r="R32" s="269"/>
      <c r="S32" s="267"/>
      <c r="T32" s="270"/>
    </row>
    <row r="33" spans="2:20" x14ac:dyDescent="0.25">
      <c r="B33" s="118">
        <v>230</v>
      </c>
      <c r="C33" s="119" t="s">
        <v>84</v>
      </c>
      <c r="D33" s="212">
        <v>73.8</v>
      </c>
      <c r="E33" s="258">
        <f>29*3.045</f>
        <v>88.304999999999993</v>
      </c>
      <c r="F33" s="259">
        <f>6.55*3.045</f>
        <v>19.944749999999999</v>
      </c>
      <c r="G33" s="121"/>
      <c r="H33" s="121"/>
      <c r="I33" s="121"/>
      <c r="J33" s="121"/>
      <c r="K33" s="120"/>
      <c r="L33" s="221"/>
      <c r="M33" s="265"/>
      <c r="N33" s="266"/>
      <c r="O33" s="267"/>
      <c r="P33" s="267"/>
      <c r="Q33" s="268"/>
      <c r="R33" s="269"/>
      <c r="S33" s="267"/>
      <c r="T33" s="270"/>
    </row>
    <row r="34" spans="2:20" x14ac:dyDescent="0.25">
      <c r="B34" s="125">
        <v>231</v>
      </c>
      <c r="C34" s="119" t="s">
        <v>85</v>
      </c>
      <c r="D34" s="212">
        <v>50</v>
      </c>
      <c r="E34" s="258">
        <f>14.1*3.045</f>
        <v>42.9345</v>
      </c>
      <c r="F34" s="259">
        <f>14.1*3.045</f>
        <v>42.9345</v>
      </c>
      <c r="G34" s="121"/>
      <c r="H34" s="121"/>
      <c r="I34" s="121"/>
      <c r="J34" s="121"/>
      <c r="K34" s="120"/>
      <c r="L34" s="221"/>
      <c r="M34" s="265"/>
      <c r="N34" s="266"/>
      <c r="O34" s="267"/>
      <c r="P34" s="267"/>
      <c r="Q34" s="268"/>
      <c r="R34" s="269"/>
      <c r="S34" s="267"/>
      <c r="T34" s="270"/>
    </row>
    <row r="35" spans="2:20" x14ac:dyDescent="0.25">
      <c r="B35" s="118">
        <v>232</v>
      </c>
      <c r="C35" s="119" t="s">
        <v>86</v>
      </c>
      <c r="D35" s="212">
        <v>22.7</v>
      </c>
      <c r="E35" s="258">
        <f>16.5*2.57</f>
        <v>42.404999999999994</v>
      </c>
      <c r="F35" s="271">
        <f>10.5*2.57</f>
        <v>26.984999999999999</v>
      </c>
      <c r="G35" s="121"/>
      <c r="H35" s="121"/>
      <c r="I35" s="121"/>
      <c r="J35" s="121"/>
      <c r="K35" s="120"/>
      <c r="L35" s="221"/>
      <c r="M35" s="265"/>
      <c r="N35" s="266"/>
      <c r="O35" s="267"/>
      <c r="P35" s="267"/>
      <c r="Q35" s="268"/>
      <c r="R35" s="269"/>
      <c r="S35" s="267"/>
      <c r="T35" s="270"/>
    </row>
    <row r="36" spans="2:20" x14ac:dyDescent="0.25">
      <c r="B36" s="118">
        <v>233</v>
      </c>
      <c r="C36" s="119" t="s">
        <v>87</v>
      </c>
      <c r="D36" s="212">
        <v>73.8</v>
      </c>
      <c r="E36" s="258">
        <f>33.9*3.045</f>
        <v>103.2255</v>
      </c>
      <c r="F36" s="259">
        <f>3.55*2.57</f>
        <v>9.1234999999999982</v>
      </c>
      <c r="G36" s="121"/>
      <c r="H36" s="121"/>
      <c r="I36" s="121"/>
      <c r="J36" s="121"/>
      <c r="K36" s="120"/>
      <c r="L36" s="221"/>
      <c r="M36" s="265"/>
      <c r="N36" s="266"/>
      <c r="O36" s="267"/>
      <c r="P36" s="267"/>
      <c r="Q36" s="268"/>
      <c r="R36" s="269"/>
      <c r="S36" s="267"/>
      <c r="T36" s="270"/>
    </row>
    <row r="37" spans="2:20" x14ac:dyDescent="0.25">
      <c r="B37" s="118">
        <v>234</v>
      </c>
      <c r="C37" s="119" t="s">
        <v>88</v>
      </c>
      <c r="D37" s="212">
        <v>48.5</v>
      </c>
      <c r="E37" s="258">
        <f>14.4*3.045</f>
        <v>43.847999999999999</v>
      </c>
      <c r="F37" s="259">
        <f>14.4*3.045</f>
        <v>43.847999999999999</v>
      </c>
      <c r="G37" s="121"/>
      <c r="H37" s="121"/>
      <c r="I37" s="121"/>
      <c r="J37" s="121"/>
      <c r="K37" s="120"/>
      <c r="L37" s="221"/>
      <c r="M37" s="265"/>
      <c r="N37" s="266"/>
      <c r="O37" s="267"/>
      <c r="P37" s="267"/>
      <c r="Q37" s="268"/>
      <c r="R37" s="269"/>
      <c r="S37" s="267"/>
      <c r="T37" s="270"/>
    </row>
    <row r="38" spans="2:20" x14ac:dyDescent="0.25">
      <c r="B38" s="118">
        <v>235</v>
      </c>
      <c r="C38" s="119" t="s">
        <v>89</v>
      </c>
      <c r="D38" s="212">
        <v>14.6</v>
      </c>
      <c r="E38" s="258"/>
      <c r="F38" s="259"/>
      <c r="G38" s="121"/>
      <c r="H38" s="121"/>
      <c r="I38" s="121">
        <v>5.5</v>
      </c>
      <c r="J38" s="121">
        <v>10.5</v>
      </c>
      <c r="K38" s="120"/>
      <c r="L38" s="221">
        <f>900*0.0238</f>
        <v>21.42</v>
      </c>
      <c r="M38" s="265">
        <f>77*0.0238</f>
        <v>1.8326000000000002</v>
      </c>
      <c r="N38" s="266"/>
      <c r="O38" s="267"/>
      <c r="P38" s="267">
        <v>1</v>
      </c>
      <c r="Q38" s="268"/>
      <c r="R38" s="269">
        <v>5.3</v>
      </c>
      <c r="S38" s="267">
        <v>4</v>
      </c>
      <c r="T38" s="270"/>
    </row>
    <row r="39" spans="2:20" x14ac:dyDescent="0.25">
      <c r="B39" s="125">
        <v>236</v>
      </c>
      <c r="C39" s="119" t="s">
        <v>11</v>
      </c>
      <c r="D39" s="212">
        <v>25.2</v>
      </c>
      <c r="E39" s="258">
        <f>58.3+40.4</f>
        <v>98.699999999999989</v>
      </c>
      <c r="F39" s="259"/>
      <c r="G39" s="121"/>
      <c r="H39" s="121"/>
      <c r="I39" s="121"/>
      <c r="J39" s="121"/>
      <c r="K39" s="120">
        <v>1.1000000000000001</v>
      </c>
      <c r="L39" s="221"/>
      <c r="M39" s="265"/>
      <c r="N39" s="266"/>
      <c r="O39" s="267"/>
      <c r="P39" s="267"/>
      <c r="Q39" s="268"/>
      <c r="R39" s="269"/>
      <c r="S39" s="267"/>
      <c r="T39" s="270"/>
    </row>
    <row r="40" spans="2:20" x14ac:dyDescent="0.25">
      <c r="B40" s="118">
        <v>237</v>
      </c>
      <c r="C40" s="119" t="s">
        <v>90</v>
      </c>
      <c r="D40" s="212">
        <v>23.8</v>
      </c>
      <c r="E40" s="258">
        <f>13.9*3.045</f>
        <v>42.325499999999998</v>
      </c>
      <c r="F40" s="259">
        <f>5.75*3.045</f>
        <v>17.508749999999999</v>
      </c>
      <c r="G40" s="121"/>
      <c r="H40" s="121"/>
      <c r="I40" s="121"/>
      <c r="J40" s="121"/>
      <c r="K40" s="120"/>
      <c r="L40" s="221">
        <f>42*0.0238</f>
        <v>0.99960000000000004</v>
      </c>
      <c r="M40" s="265">
        <f>5*0.0238</f>
        <v>0.11900000000000001</v>
      </c>
      <c r="N40" s="266"/>
      <c r="O40" s="267"/>
      <c r="P40" s="267"/>
      <c r="Q40" s="268"/>
      <c r="R40" s="269"/>
      <c r="S40" s="267"/>
      <c r="T40" s="270"/>
    </row>
    <row r="41" spans="2:20" x14ac:dyDescent="0.25">
      <c r="B41" s="118">
        <v>238</v>
      </c>
      <c r="C41" s="119" t="s">
        <v>91</v>
      </c>
      <c r="D41" s="212">
        <v>22.2</v>
      </c>
      <c r="E41" s="258">
        <f>6.65*3.045</f>
        <v>20.24925</v>
      </c>
      <c r="F41" s="259">
        <f>14.8*3.045</f>
        <v>45.066000000000003</v>
      </c>
      <c r="G41" s="121"/>
      <c r="H41" s="121"/>
      <c r="I41" s="121"/>
      <c r="J41" s="121"/>
      <c r="K41" s="120"/>
      <c r="L41" s="221">
        <f>33*0.0238</f>
        <v>0.7854000000000001</v>
      </c>
      <c r="M41" s="265"/>
      <c r="N41" s="266"/>
      <c r="O41" s="267"/>
      <c r="P41" s="267"/>
      <c r="Q41" s="268"/>
      <c r="R41" s="269"/>
      <c r="S41" s="267"/>
      <c r="T41" s="270"/>
    </row>
    <row r="42" spans="2:20" x14ac:dyDescent="0.25">
      <c r="B42" s="118">
        <v>239</v>
      </c>
      <c r="C42" s="119" t="s">
        <v>17</v>
      </c>
      <c r="D42" s="212">
        <v>5.0999999999999996</v>
      </c>
      <c r="E42" s="258"/>
      <c r="F42" s="259"/>
      <c r="G42" s="121"/>
      <c r="H42" s="121"/>
      <c r="I42" s="121">
        <v>2.2999999999999998</v>
      </c>
      <c r="J42" s="121">
        <v>10.3</v>
      </c>
      <c r="K42" s="120"/>
      <c r="L42" s="221">
        <f>440*0.0238</f>
        <v>10.472000000000001</v>
      </c>
      <c r="M42" s="265">
        <f>17*0.0238</f>
        <v>0.40460000000000002</v>
      </c>
      <c r="N42" s="266"/>
      <c r="O42" s="267">
        <v>1</v>
      </c>
      <c r="P42" s="267"/>
      <c r="Q42" s="268"/>
      <c r="R42" s="269"/>
      <c r="S42" s="267"/>
      <c r="T42" s="270"/>
    </row>
    <row r="43" spans="2:20" x14ac:dyDescent="0.25">
      <c r="B43" s="118">
        <v>240</v>
      </c>
      <c r="C43" s="119" t="s">
        <v>16</v>
      </c>
      <c r="D43" s="212">
        <v>37.299999999999997</v>
      </c>
      <c r="E43" s="258">
        <f>41.3*2.57</f>
        <v>106.14099999999999</v>
      </c>
      <c r="F43" s="259">
        <f>1.2*2.57</f>
        <v>3.0839999999999996</v>
      </c>
      <c r="G43" s="121"/>
      <c r="H43" s="121"/>
      <c r="I43" s="121"/>
      <c r="J43" s="121"/>
      <c r="K43" s="120">
        <v>1.1000000000000001</v>
      </c>
      <c r="L43" s="221"/>
      <c r="M43" s="265"/>
      <c r="N43" s="266"/>
      <c r="O43" s="267"/>
      <c r="P43" s="267"/>
      <c r="Q43" s="268"/>
      <c r="R43" s="269"/>
      <c r="S43" s="267"/>
      <c r="T43" s="270"/>
    </row>
    <row r="44" spans="2:20" x14ac:dyDescent="0.25">
      <c r="B44" s="125">
        <v>241</v>
      </c>
      <c r="C44" s="119" t="s">
        <v>92</v>
      </c>
      <c r="D44" s="212">
        <v>18.3</v>
      </c>
      <c r="E44" s="258"/>
      <c r="F44" s="259"/>
      <c r="G44" s="121">
        <f>12*3.045</f>
        <v>36.54</v>
      </c>
      <c r="H44" s="209">
        <f>5.85*3.045</f>
        <v>17.81325</v>
      </c>
      <c r="I44" s="121"/>
      <c r="J44" s="121"/>
      <c r="K44" s="120"/>
      <c r="L44" s="221">
        <f>28*0.0238</f>
        <v>0.6664000000000001</v>
      </c>
      <c r="M44" s="265"/>
      <c r="N44" s="266"/>
      <c r="O44" s="267"/>
      <c r="P44" s="267"/>
      <c r="Q44" s="268"/>
      <c r="R44" s="269"/>
      <c r="S44" s="267"/>
      <c r="T44" s="270"/>
    </row>
    <row r="45" spans="2:20" x14ac:dyDescent="0.25">
      <c r="B45" s="118">
        <v>242</v>
      </c>
      <c r="C45" s="119" t="s">
        <v>65</v>
      </c>
      <c r="D45" s="212">
        <v>24.9</v>
      </c>
      <c r="E45" s="258">
        <f>4.4*3.045</f>
        <v>13.398000000000001</v>
      </c>
      <c r="F45" s="259">
        <f>16.1*3.045</f>
        <v>49.024500000000003</v>
      </c>
      <c r="G45" s="121"/>
      <c r="H45" s="121"/>
      <c r="I45" s="121"/>
      <c r="J45" s="121"/>
      <c r="K45" s="120"/>
      <c r="L45" s="221"/>
      <c r="M45" s="265"/>
      <c r="N45" s="266"/>
      <c r="O45" s="267"/>
      <c r="P45" s="267"/>
      <c r="Q45" s="268"/>
      <c r="R45" s="269"/>
      <c r="S45" s="267"/>
      <c r="T45" s="270"/>
    </row>
    <row r="46" spans="2:20" x14ac:dyDescent="0.25">
      <c r="B46" s="118">
        <v>243</v>
      </c>
      <c r="C46" s="119" t="s">
        <v>11</v>
      </c>
      <c r="D46" s="212">
        <v>2.7</v>
      </c>
      <c r="E46" s="258">
        <f>6.5*21</f>
        <v>136.5</v>
      </c>
      <c r="F46" s="259"/>
      <c r="G46" s="121"/>
      <c r="H46" s="121"/>
      <c r="I46" s="121"/>
      <c r="J46" s="121"/>
      <c r="K46" s="120"/>
      <c r="L46" s="118"/>
      <c r="M46" s="212"/>
      <c r="N46" s="266"/>
      <c r="O46" s="267"/>
      <c r="P46" s="267"/>
      <c r="Q46" s="268"/>
      <c r="R46" s="269"/>
      <c r="S46" s="267"/>
      <c r="T46" s="270"/>
    </row>
    <row r="47" spans="2:20" x14ac:dyDescent="0.25">
      <c r="B47" s="118">
        <v>244</v>
      </c>
      <c r="C47" s="119" t="s">
        <v>12</v>
      </c>
      <c r="D47" s="212">
        <v>20.100000000000001</v>
      </c>
      <c r="E47" s="258">
        <f>18.2*3.045</f>
        <v>55.418999999999997</v>
      </c>
      <c r="F47" s="259"/>
      <c r="G47" s="121"/>
      <c r="H47" s="121"/>
      <c r="I47" s="121"/>
      <c r="J47" s="121"/>
      <c r="K47" s="120"/>
      <c r="L47" s="118"/>
      <c r="M47" s="212"/>
      <c r="N47" s="266"/>
      <c r="O47" s="267"/>
      <c r="P47" s="267"/>
      <c r="Q47" s="268"/>
      <c r="R47" s="269"/>
      <c r="S47" s="267"/>
      <c r="T47" s="270"/>
    </row>
    <row r="48" spans="2:20" x14ac:dyDescent="0.25">
      <c r="B48" s="118">
        <v>245</v>
      </c>
      <c r="C48" s="119" t="s">
        <v>65</v>
      </c>
      <c r="D48" s="212">
        <v>24.9</v>
      </c>
      <c r="E48" s="258">
        <f>11.4*3.045</f>
        <v>34.713000000000001</v>
      </c>
      <c r="F48" s="259">
        <f>8.51*3.045</f>
        <v>25.912949999999999</v>
      </c>
      <c r="G48" s="121"/>
      <c r="H48" s="121"/>
      <c r="I48" s="121"/>
      <c r="J48" s="121"/>
      <c r="K48" s="120"/>
      <c r="L48" s="118"/>
      <c r="M48" s="212"/>
      <c r="N48" s="266"/>
      <c r="O48" s="267"/>
      <c r="P48" s="267"/>
      <c r="Q48" s="268"/>
      <c r="R48" s="269"/>
      <c r="S48" s="267"/>
      <c r="T48" s="270"/>
    </row>
    <row r="49" spans="2:20" x14ac:dyDescent="0.25">
      <c r="B49" s="118">
        <v>246</v>
      </c>
      <c r="C49" s="119" t="s">
        <v>93</v>
      </c>
      <c r="D49" s="212">
        <v>128.69999999999999</v>
      </c>
      <c r="E49" s="258">
        <f>53*4.7</f>
        <v>249.10000000000002</v>
      </c>
      <c r="F49" s="259"/>
      <c r="G49" s="121"/>
      <c r="H49" s="121"/>
      <c r="I49" s="121"/>
      <c r="J49" s="121"/>
      <c r="K49" s="120"/>
      <c r="L49" s="118"/>
      <c r="M49" s="212"/>
      <c r="N49" s="266"/>
      <c r="O49" s="267"/>
      <c r="P49" s="267"/>
      <c r="Q49" s="268"/>
      <c r="R49" s="269"/>
      <c r="S49" s="267"/>
      <c r="T49" s="270"/>
    </row>
    <row r="50" spans="2:20" ht="15.75" thickBot="1" x14ac:dyDescent="0.3">
      <c r="B50" s="118">
        <v>247</v>
      </c>
      <c r="C50" s="272" t="s">
        <v>94</v>
      </c>
      <c r="D50" s="89">
        <v>16.2</v>
      </c>
      <c r="E50" s="273">
        <f>11*3.045</f>
        <v>33.494999999999997</v>
      </c>
      <c r="F50" s="274">
        <f>6*3.045</f>
        <v>18.27</v>
      </c>
      <c r="G50" s="224"/>
      <c r="H50" s="224"/>
      <c r="I50" s="224"/>
      <c r="J50" s="224"/>
      <c r="K50" s="85"/>
      <c r="L50" s="127"/>
      <c r="M50" s="275"/>
      <c r="N50" s="276"/>
      <c r="O50" s="277"/>
      <c r="P50" s="277"/>
      <c r="Q50" s="278"/>
      <c r="R50" s="279"/>
      <c r="S50" s="277"/>
      <c r="T50" s="280"/>
    </row>
    <row r="51" spans="2:20" x14ac:dyDescent="0.25">
      <c r="B51" s="86"/>
      <c r="C51" s="281" t="s">
        <v>0</v>
      </c>
      <c r="D51" s="86">
        <f t="shared" ref="D51:K51" si="0">SUM(D4:D50)</f>
        <v>1671.8999999999999</v>
      </c>
      <c r="E51" s="282">
        <f t="shared" si="0"/>
        <v>2557.3656500000006</v>
      </c>
      <c r="F51" s="283">
        <f t="shared" si="0"/>
        <v>783.72619999999984</v>
      </c>
      <c r="G51" s="283">
        <f t="shared" si="0"/>
        <v>46.740749999999998</v>
      </c>
      <c r="H51" s="284">
        <f t="shared" si="0"/>
        <v>61.96575</v>
      </c>
      <c r="I51" s="284">
        <f t="shared" si="0"/>
        <v>39.43</v>
      </c>
      <c r="J51" s="283">
        <f t="shared" si="0"/>
        <v>70.81</v>
      </c>
      <c r="K51" s="285">
        <f t="shared" si="0"/>
        <v>4.4000000000000004</v>
      </c>
      <c r="L51" s="286">
        <f t="shared" ref="L51:Q51" si="1">SUM(L9:L50)</f>
        <v>157.19900000000001</v>
      </c>
      <c r="M51" s="287">
        <f t="shared" si="1"/>
        <v>11.0908</v>
      </c>
      <c r="N51" s="288">
        <f t="shared" si="1"/>
        <v>2</v>
      </c>
      <c r="O51" s="289">
        <f t="shared" si="1"/>
        <v>1</v>
      </c>
      <c r="P51" s="289">
        <f t="shared" si="1"/>
        <v>2</v>
      </c>
      <c r="Q51" s="290">
        <f t="shared" si="1"/>
        <v>4</v>
      </c>
      <c r="R51" s="291">
        <f t="shared" ref="R51" si="2">SUM(R9:R50)</f>
        <v>32.5</v>
      </c>
      <c r="S51" s="289">
        <f t="shared" ref="S51" si="3">SUM(S9:S50)</f>
        <v>24</v>
      </c>
      <c r="T51" s="292">
        <f t="shared" ref="T51" si="4">SUM(T9:T50)</f>
        <v>1</v>
      </c>
    </row>
    <row r="52" spans="2:20" ht="15.75" thickBot="1" x14ac:dyDescent="0.3">
      <c r="B52" s="141"/>
      <c r="C52" s="293" t="s">
        <v>96</v>
      </c>
      <c r="D52" s="141">
        <f>D51+gridas_1st!D75+'gridas_3 st'!D6</f>
        <v>3484.4999999999995</v>
      </c>
      <c r="E52" s="96">
        <f>E51+sienas_1st!E75</f>
        <v>4913.5431500000013</v>
      </c>
      <c r="F52" s="294">
        <f>F51+sienas_1st!F75</f>
        <v>1482.8491999999999</v>
      </c>
      <c r="G52" s="294">
        <f>G51+sienas_1st!G75</f>
        <v>144.01874999999998</v>
      </c>
      <c r="H52" s="97">
        <f>H51</f>
        <v>61.96575</v>
      </c>
      <c r="I52" s="97">
        <f>I51+sienas_1st!H75</f>
        <v>319.69680000000005</v>
      </c>
      <c r="J52" s="294">
        <f>J51+sienas_1st!I75</f>
        <v>304.35025000000002</v>
      </c>
      <c r="K52" s="295">
        <f>K51</f>
        <v>4.4000000000000004</v>
      </c>
      <c r="L52" s="296">
        <f>L51+sienas_1st!K75</f>
        <v>304.16400000000004</v>
      </c>
      <c r="M52" s="297">
        <f>M51</f>
        <v>11.0908</v>
      </c>
      <c r="N52" s="298">
        <f>N51+sienas_1st!N76</f>
        <v>7</v>
      </c>
      <c r="O52" s="299">
        <f>O51+sienas_1st!O76</f>
        <v>3</v>
      </c>
      <c r="P52" s="299">
        <f>P51+sienas_1st!P76</f>
        <v>6</v>
      </c>
      <c r="Q52" s="300">
        <f>Q51+sienas_1st!Q76</f>
        <v>12</v>
      </c>
      <c r="R52" s="298">
        <f>R51+sienas_1st!R75</f>
        <v>58.900000000000006</v>
      </c>
      <c r="S52" s="299">
        <f>S51+sienas_1st!S75</f>
        <v>42</v>
      </c>
      <c r="T52" s="301">
        <f>T51+sienas_1st!T75</f>
        <v>3</v>
      </c>
    </row>
    <row r="54" spans="2:20" x14ac:dyDescent="0.25">
      <c r="B54" s="146" t="s">
        <v>149</v>
      </c>
      <c r="C54" s="147"/>
      <c r="D54" s="148"/>
      <c r="E54" s="149"/>
      <c r="I54" s="146" t="s">
        <v>150</v>
      </c>
      <c r="J54" s="146"/>
      <c r="K54" s="148"/>
    </row>
    <row r="55" spans="2:20" x14ac:dyDescent="0.25">
      <c r="B55" s="146" t="s">
        <v>151</v>
      </c>
      <c r="C55" s="147"/>
      <c r="D55" s="148"/>
      <c r="E55" s="149"/>
      <c r="I55" s="146"/>
      <c r="J55" s="146" t="s">
        <v>103</v>
      </c>
      <c r="K55" s="148"/>
    </row>
    <row r="56" spans="2:20" x14ac:dyDescent="0.25">
      <c r="B56" s="150"/>
      <c r="C56" s="146" t="s">
        <v>98</v>
      </c>
      <c r="D56" s="148"/>
      <c r="E56" s="149"/>
      <c r="I56" s="146"/>
      <c r="J56" s="146" t="s">
        <v>102</v>
      </c>
      <c r="K56" s="148"/>
    </row>
    <row r="57" spans="2:20" x14ac:dyDescent="0.25">
      <c r="E57" s="149"/>
      <c r="I57" s="146"/>
      <c r="J57" s="146" t="s">
        <v>115</v>
      </c>
      <c r="K57" s="102"/>
    </row>
    <row r="58" spans="2:20" x14ac:dyDescent="0.25">
      <c r="E58" s="149"/>
      <c r="I58" s="102"/>
      <c r="K58" s="102"/>
    </row>
    <row r="59" spans="2:20" x14ac:dyDescent="0.25">
      <c r="E59" s="149"/>
    </row>
  </sheetData>
  <mergeCells count="4">
    <mergeCell ref="E2:K2"/>
    <mergeCell ref="L2:M2"/>
    <mergeCell ref="R2:T2"/>
    <mergeCell ref="N2:Q2"/>
  </mergeCells>
  <pageMargins left="0.7" right="0.7" top="0.75" bottom="0.75" header="0.3" footer="0.3"/>
  <pageSetup paperSize="257" orientation="portrait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5"/>
  <sheetViews>
    <sheetView zoomScale="115" zoomScaleNormal="115" workbookViewId="0">
      <selection activeCell="K26" sqref="K26"/>
    </sheetView>
  </sheetViews>
  <sheetFormatPr defaultRowHeight="15" x14ac:dyDescent="0.25"/>
  <cols>
    <col min="2" max="2" width="9.140625" customWidth="1"/>
    <col min="3" max="3" width="26" customWidth="1"/>
    <col min="4" max="4" width="10.85546875" customWidth="1"/>
  </cols>
  <sheetData>
    <row r="2" spans="2:7" ht="16.5" thickBot="1" x14ac:dyDescent="0.3">
      <c r="B2" s="3"/>
      <c r="C2" s="1"/>
      <c r="D2" s="3"/>
    </row>
    <row r="3" spans="2:7" ht="282.75" customHeight="1" thickBot="1" x14ac:dyDescent="0.3">
      <c r="B3" s="21" t="s">
        <v>5</v>
      </c>
      <c r="C3" s="23" t="s">
        <v>3</v>
      </c>
      <c r="D3" s="22" t="s">
        <v>4</v>
      </c>
      <c r="E3" s="94" t="s">
        <v>124</v>
      </c>
      <c r="F3" s="95" t="s">
        <v>125</v>
      </c>
      <c r="G3" s="93" t="s">
        <v>128</v>
      </c>
    </row>
    <row r="4" spans="2:7" ht="15.75" x14ac:dyDescent="0.25">
      <c r="B4" s="12">
        <v>301</v>
      </c>
      <c r="C4" s="13" t="s">
        <v>11</v>
      </c>
      <c r="D4" s="24">
        <v>10</v>
      </c>
      <c r="E4" s="82">
        <f>41.4+11.33+6</f>
        <v>58.73</v>
      </c>
      <c r="F4" s="88"/>
      <c r="G4" s="83"/>
    </row>
    <row r="5" spans="2:7" ht="16.5" thickBot="1" x14ac:dyDescent="0.3">
      <c r="B5" s="7">
        <v>302</v>
      </c>
      <c r="C5" s="6" t="s">
        <v>95</v>
      </c>
      <c r="D5" s="25">
        <v>16.2</v>
      </c>
      <c r="E5" s="84">
        <v>41.1</v>
      </c>
      <c r="F5" s="89">
        <v>3</v>
      </c>
      <c r="G5" s="85">
        <f>48*0.2*0.2</f>
        <v>1.9200000000000004</v>
      </c>
    </row>
    <row r="6" spans="2:7" ht="15.75" x14ac:dyDescent="0.25">
      <c r="B6" s="16"/>
      <c r="C6" s="17" t="s">
        <v>0</v>
      </c>
      <c r="D6" s="29">
        <f>SUM(D4:D5)</f>
        <v>26.2</v>
      </c>
      <c r="E6" s="86">
        <f>SUM(E4:E5)</f>
        <v>99.83</v>
      </c>
      <c r="F6" s="90">
        <f>SUM(F4:F5)</f>
        <v>3</v>
      </c>
      <c r="G6" s="87">
        <f>SUM(G4:G5)</f>
        <v>1.9200000000000004</v>
      </c>
    </row>
    <row r="7" spans="2:7" ht="16.5" thickBot="1" x14ac:dyDescent="0.3">
      <c r="B7" s="9"/>
      <c r="C7" s="19" t="s">
        <v>96</v>
      </c>
      <c r="D7" s="30">
        <f>D6+gridas_1st!D75+gridas_2st!D51</f>
        <v>3484.5</v>
      </c>
      <c r="E7" s="96">
        <f>E6+sienas_1st!G75+sienas_2st!G51</f>
        <v>243.84875</v>
      </c>
      <c r="F7" s="97">
        <f>F6+sienas_2st!H51</f>
        <v>64.96575</v>
      </c>
      <c r="G7" s="98">
        <f>G6+sienas_1st!M75</f>
        <v>112.64000000000001</v>
      </c>
    </row>
    <row r="9" spans="2:7" ht="15.75" x14ac:dyDescent="0.25">
      <c r="B9" s="61" t="s">
        <v>99</v>
      </c>
      <c r="C9" s="62"/>
      <c r="D9" s="57"/>
    </row>
    <row r="10" spans="2:7" ht="15.75" x14ac:dyDescent="0.25">
      <c r="B10" s="61" t="s">
        <v>100</v>
      </c>
      <c r="C10" s="62"/>
      <c r="D10" s="57"/>
    </row>
    <row r="11" spans="2:7" ht="15.75" x14ac:dyDescent="0.25">
      <c r="B11" s="63"/>
      <c r="C11" s="61" t="s">
        <v>98</v>
      </c>
      <c r="D11" s="57"/>
    </row>
    <row r="12" spans="2:7" ht="15.75" x14ac:dyDescent="0.25">
      <c r="B12" s="61" t="s">
        <v>101</v>
      </c>
      <c r="C12" s="61"/>
      <c r="D12" s="57"/>
    </row>
    <row r="13" spans="2:7" ht="15.75" x14ac:dyDescent="0.25">
      <c r="B13" s="61"/>
      <c r="C13" s="61" t="s">
        <v>103</v>
      </c>
      <c r="D13" s="57"/>
    </row>
    <row r="14" spans="2:7" ht="15.75" x14ac:dyDescent="0.25">
      <c r="B14" s="61"/>
      <c r="C14" s="61" t="s">
        <v>102</v>
      </c>
      <c r="D14" s="57"/>
    </row>
    <row r="15" spans="2:7" ht="15.75" x14ac:dyDescent="0.25">
      <c r="B15" s="61"/>
      <c r="C15" s="61" t="s">
        <v>115</v>
      </c>
      <c r="D15" s="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B1:AF85"/>
  <sheetViews>
    <sheetView zoomScale="85" zoomScaleNormal="85" workbookViewId="0">
      <pane ySplit="3" topLeftCell="A22" activePane="bottomLeft" state="frozen"/>
      <selection pane="bottomLeft" activeCell="A28" sqref="A28:XFD28"/>
    </sheetView>
  </sheetViews>
  <sheetFormatPr defaultRowHeight="12.75" x14ac:dyDescent="0.2"/>
  <cols>
    <col min="1" max="1" width="3.42578125" style="389" customWidth="1"/>
    <col min="2" max="2" width="6.140625" style="390" customWidth="1"/>
    <col min="3" max="3" width="27.5703125" style="389" customWidth="1"/>
    <col min="4" max="4" width="10.42578125" style="390" bestFit="1" customWidth="1"/>
    <col min="5" max="6" width="7.42578125" style="390" customWidth="1"/>
    <col min="7" max="7" width="5.140625" style="390" customWidth="1"/>
    <col min="8" max="8" width="8" style="390" customWidth="1"/>
    <col min="9" max="9" width="8.42578125" style="390" customWidth="1"/>
    <col min="10" max="10" width="7.5703125" style="390" bestFit="1" customWidth="1"/>
    <col min="11" max="11" width="8.140625" style="390" customWidth="1"/>
    <col min="12" max="12" width="7.140625" style="390" customWidth="1"/>
    <col min="13" max="13" width="8" style="390" customWidth="1"/>
    <col min="14" max="14" width="7" style="390" bestFit="1" customWidth="1"/>
    <col min="15" max="16" width="7.5703125" style="390" customWidth="1"/>
    <col min="17" max="17" width="7.28515625" style="390" customWidth="1"/>
    <col min="18" max="18" width="10" style="390" customWidth="1"/>
    <col min="19" max="19" width="9.28515625" style="389" customWidth="1"/>
    <col min="20" max="20" width="7" style="389" customWidth="1"/>
    <col min="21" max="21" width="7.140625" style="389" customWidth="1"/>
    <col min="22" max="23" width="10" style="389" bestFit="1" customWidth="1"/>
    <col min="24" max="24" width="8.5703125" style="389" customWidth="1"/>
    <col min="25" max="25" width="6.5703125" style="389" customWidth="1"/>
    <col min="26" max="26" width="10" style="389" bestFit="1" customWidth="1"/>
    <col min="27" max="27" width="6.42578125" style="389" customWidth="1"/>
    <col min="28" max="28" width="8.85546875" style="389" customWidth="1"/>
    <col min="29" max="29" width="4.5703125" style="389" customWidth="1"/>
    <col min="30" max="30" width="4.140625" style="389" customWidth="1"/>
    <col min="31" max="31" width="7" style="389" bestFit="1" customWidth="1"/>
    <col min="32" max="32" width="7.140625" style="389" customWidth="1"/>
    <col min="33" max="16384" width="9.140625" style="389"/>
  </cols>
  <sheetData>
    <row r="1" spans="2:32" ht="13.5" thickBot="1" x14ac:dyDescent="0.25">
      <c r="K1" s="459">
        <v>1</v>
      </c>
      <c r="L1" s="459">
        <v>2</v>
      </c>
      <c r="M1" s="459">
        <v>3</v>
      </c>
      <c r="N1" s="459">
        <v>4</v>
      </c>
      <c r="O1" s="459">
        <v>5</v>
      </c>
      <c r="P1" s="459">
        <v>6</v>
      </c>
      <c r="Q1" s="459">
        <v>7</v>
      </c>
      <c r="R1" s="459" t="s">
        <v>112</v>
      </c>
      <c r="S1" s="459">
        <v>8</v>
      </c>
      <c r="T1" s="459">
        <v>10</v>
      </c>
      <c r="U1" s="459">
        <v>12</v>
      </c>
      <c r="V1" s="459">
        <v>14</v>
      </c>
      <c r="W1" s="459">
        <v>15</v>
      </c>
      <c r="X1" s="459">
        <v>16</v>
      </c>
      <c r="Y1" s="459">
        <v>17</v>
      </c>
      <c r="Z1" s="459">
        <v>18</v>
      </c>
      <c r="AA1" s="459">
        <v>19</v>
      </c>
      <c r="AB1" s="459">
        <v>20</v>
      </c>
    </row>
    <row r="2" spans="2:32" ht="16.5" thickBot="1" x14ac:dyDescent="0.25">
      <c r="E2" s="621" t="s">
        <v>186</v>
      </c>
      <c r="F2" s="622"/>
      <c r="G2" s="622"/>
      <c r="H2" s="622"/>
      <c r="I2" s="622"/>
      <c r="J2" s="622"/>
      <c r="K2" s="621" t="s">
        <v>309</v>
      </c>
      <c r="L2" s="622"/>
      <c r="M2" s="622"/>
      <c r="N2" s="622"/>
      <c r="O2" s="622"/>
      <c r="P2" s="622"/>
      <c r="Q2" s="622"/>
      <c r="R2" s="622"/>
      <c r="S2" s="622"/>
      <c r="T2" s="622"/>
      <c r="U2" s="622"/>
      <c r="V2" s="622"/>
      <c r="W2" s="622"/>
      <c r="X2" s="622"/>
      <c r="Y2" s="622"/>
      <c r="Z2" s="622"/>
      <c r="AA2" s="622"/>
      <c r="AB2" s="622"/>
      <c r="AC2" s="622"/>
      <c r="AD2" s="622"/>
      <c r="AE2" s="622"/>
      <c r="AF2" s="623"/>
    </row>
    <row r="3" spans="2:32" ht="282" customHeight="1" thickBot="1" x14ac:dyDescent="0.25">
      <c r="B3" s="460" t="s">
        <v>5</v>
      </c>
      <c r="C3" s="461" t="s">
        <v>3</v>
      </c>
      <c r="D3" s="462" t="s">
        <v>154</v>
      </c>
      <c r="E3" s="431" t="s">
        <v>187</v>
      </c>
      <c r="F3" s="337" t="s">
        <v>310</v>
      </c>
      <c r="G3" s="333" t="s">
        <v>188</v>
      </c>
      <c r="H3" s="333" t="s">
        <v>311</v>
      </c>
      <c r="I3" s="333" t="s">
        <v>312</v>
      </c>
      <c r="J3" s="334" t="s">
        <v>313</v>
      </c>
      <c r="K3" s="397" t="s">
        <v>189</v>
      </c>
      <c r="L3" s="337" t="s">
        <v>314</v>
      </c>
      <c r="M3" s="337" t="s">
        <v>190</v>
      </c>
      <c r="N3" s="334" t="s">
        <v>191</v>
      </c>
      <c r="O3" s="337" t="s">
        <v>192</v>
      </c>
      <c r="P3" s="598" t="s">
        <v>185</v>
      </c>
      <c r="Q3" s="337" t="s">
        <v>193</v>
      </c>
      <c r="R3" s="337" t="s">
        <v>194</v>
      </c>
      <c r="S3" s="337" t="s">
        <v>315</v>
      </c>
      <c r="T3" s="335" t="s">
        <v>195</v>
      </c>
      <c r="U3" s="335" t="s">
        <v>316</v>
      </c>
      <c r="V3" s="335" t="s">
        <v>317</v>
      </c>
      <c r="W3" s="337" t="s">
        <v>318</v>
      </c>
      <c r="X3" s="337" t="s">
        <v>319</v>
      </c>
      <c r="Y3" s="337" t="s">
        <v>320</v>
      </c>
      <c r="Z3" s="335" t="s">
        <v>321</v>
      </c>
      <c r="AA3" s="458" t="s">
        <v>322</v>
      </c>
      <c r="AB3" s="458" t="s">
        <v>327</v>
      </c>
      <c r="AC3" s="432" t="s">
        <v>323</v>
      </c>
      <c r="AD3" s="432" t="s">
        <v>324</v>
      </c>
      <c r="AE3" s="432" t="s">
        <v>325</v>
      </c>
      <c r="AF3" s="433" t="s">
        <v>326</v>
      </c>
    </row>
    <row r="4" spans="2:32" x14ac:dyDescent="0.2">
      <c r="B4" s="463">
        <v>101</v>
      </c>
      <c r="C4" s="464" t="s">
        <v>8</v>
      </c>
      <c r="D4" s="305">
        <v>17.899999999999999</v>
      </c>
      <c r="E4" s="304">
        <f>D4</f>
        <v>17.899999999999999</v>
      </c>
      <c r="F4" s="434"/>
      <c r="G4" s="302"/>
      <c r="H4" s="302"/>
      <c r="I4" s="302"/>
      <c r="J4" s="305"/>
      <c r="K4" s="304"/>
      <c r="L4" s="302"/>
      <c r="M4" s="302"/>
      <c r="N4" s="302"/>
      <c r="O4" s="302">
        <v>4</v>
      </c>
      <c r="P4" s="302"/>
      <c r="Q4" s="302"/>
      <c r="R4" s="302"/>
      <c r="S4" s="302"/>
      <c r="T4" s="302"/>
      <c r="U4" s="302"/>
      <c r="V4" s="302"/>
      <c r="W4" s="302"/>
      <c r="X4" s="302"/>
      <c r="Y4" s="302"/>
      <c r="Z4" s="305"/>
      <c r="AA4" s="302"/>
      <c r="AB4" s="302"/>
      <c r="AC4" s="302"/>
      <c r="AD4" s="302"/>
      <c r="AE4" s="302"/>
      <c r="AF4" s="400"/>
    </row>
    <row r="5" spans="2:32" x14ac:dyDescent="0.2">
      <c r="B5" s="465">
        <v>102</v>
      </c>
      <c r="C5" s="466" t="s">
        <v>9</v>
      </c>
      <c r="D5" s="310">
        <v>57.6</v>
      </c>
      <c r="E5" s="402"/>
      <c r="F5" s="435"/>
      <c r="G5" s="403">
        <v>73.8</v>
      </c>
      <c r="H5" s="403"/>
      <c r="I5" s="403"/>
      <c r="J5" s="404"/>
      <c r="K5" s="309"/>
      <c r="L5" s="307"/>
      <c r="M5" s="307"/>
      <c r="N5" s="307"/>
      <c r="O5" s="307"/>
      <c r="P5" s="307"/>
      <c r="Q5" s="307"/>
      <c r="R5" s="307"/>
      <c r="S5" s="307"/>
      <c r="T5" s="307"/>
      <c r="U5" s="307">
        <v>12</v>
      </c>
      <c r="V5" s="307"/>
      <c r="W5" s="307"/>
      <c r="X5" s="307"/>
      <c r="Y5" s="307"/>
      <c r="Z5" s="310"/>
      <c r="AA5" s="307"/>
      <c r="AB5" s="307"/>
      <c r="AC5" s="307"/>
      <c r="AD5" s="307"/>
      <c r="AE5" s="307"/>
      <c r="AF5" s="338"/>
    </row>
    <row r="6" spans="2:32" x14ac:dyDescent="0.2">
      <c r="B6" s="465">
        <v>103</v>
      </c>
      <c r="C6" s="466" t="s">
        <v>10</v>
      </c>
      <c r="D6" s="310">
        <v>141.69999999999999</v>
      </c>
      <c r="E6" s="402"/>
      <c r="F6" s="435"/>
      <c r="G6" s="403"/>
      <c r="H6" s="403"/>
      <c r="I6" s="403"/>
      <c r="J6" s="404">
        <v>150</v>
      </c>
      <c r="K6" s="309"/>
      <c r="L6" s="307"/>
      <c r="M6" s="307"/>
      <c r="N6" s="307"/>
      <c r="O6" s="307"/>
      <c r="P6" s="307"/>
      <c r="Q6" s="307"/>
      <c r="R6" s="307"/>
      <c r="S6" s="307"/>
      <c r="T6" s="307"/>
      <c r="U6" s="307"/>
      <c r="V6" s="307">
        <v>5</v>
      </c>
      <c r="W6" s="307">
        <v>11</v>
      </c>
      <c r="X6" s="307">
        <v>2</v>
      </c>
      <c r="Y6" s="307"/>
      <c r="Z6" s="310"/>
      <c r="AA6" s="307"/>
      <c r="AB6" s="307"/>
      <c r="AC6" s="307"/>
      <c r="AD6" s="307"/>
      <c r="AE6" s="307"/>
      <c r="AF6" s="338"/>
    </row>
    <row r="7" spans="2:32" x14ac:dyDescent="0.2">
      <c r="B7" s="465">
        <v>104</v>
      </c>
      <c r="C7" s="466" t="s">
        <v>11</v>
      </c>
      <c r="D7" s="310">
        <v>33.4</v>
      </c>
      <c r="E7" s="402">
        <f>D7</f>
        <v>33.4</v>
      </c>
      <c r="F7" s="435"/>
      <c r="G7" s="403"/>
      <c r="H7" s="403"/>
      <c r="I7" s="403"/>
      <c r="J7" s="404"/>
      <c r="K7" s="309"/>
      <c r="L7" s="307"/>
      <c r="M7" s="307"/>
      <c r="N7" s="307"/>
      <c r="O7" s="307">
        <v>4</v>
      </c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10"/>
      <c r="AA7" s="307"/>
      <c r="AB7" s="307"/>
      <c r="AC7" s="307"/>
      <c r="AD7" s="307"/>
      <c r="AE7" s="307"/>
      <c r="AF7" s="338"/>
    </row>
    <row r="8" spans="2:32" x14ac:dyDescent="0.2">
      <c r="B8" s="465">
        <v>105</v>
      </c>
      <c r="C8" s="466" t="s">
        <v>12</v>
      </c>
      <c r="D8" s="310">
        <v>9.4</v>
      </c>
      <c r="E8" s="402">
        <f>D8</f>
        <v>9.4</v>
      </c>
      <c r="F8" s="435"/>
      <c r="G8" s="403"/>
      <c r="H8" s="403"/>
      <c r="I8" s="403"/>
      <c r="J8" s="404"/>
      <c r="K8" s="309"/>
      <c r="L8" s="307"/>
      <c r="M8" s="307"/>
      <c r="N8" s="307"/>
      <c r="O8" s="307"/>
      <c r="P8" s="307"/>
      <c r="Q8" s="607">
        <v>2</v>
      </c>
      <c r="R8" s="307"/>
      <c r="S8" s="307"/>
      <c r="T8" s="307"/>
      <c r="U8" s="307"/>
      <c r="V8" s="307"/>
      <c r="W8" s="307"/>
      <c r="X8" s="307"/>
      <c r="Y8" s="307"/>
      <c r="Z8" s="310"/>
      <c r="AA8" s="307"/>
      <c r="AB8" s="307"/>
      <c r="AC8" s="307"/>
      <c r="AD8" s="307"/>
      <c r="AE8" s="307"/>
      <c r="AF8" s="338"/>
    </row>
    <row r="9" spans="2:32" x14ac:dyDescent="0.2">
      <c r="B9" s="465">
        <v>106</v>
      </c>
      <c r="C9" s="466" t="s">
        <v>13</v>
      </c>
      <c r="D9" s="310">
        <v>3.6</v>
      </c>
      <c r="E9" s="402"/>
      <c r="F9" s="435"/>
      <c r="G9" s="403"/>
      <c r="H9" s="403">
        <f>D9</f>
        <v>3.6</v>
      </c>
      <c r="I9" s="403"/>
      <c r="J9" s="404"/>
      <c r="K9" s="603">
        <v>1</v>
      </c>
      <c r="L9" s="307"/>
      <c r="M9" s="307"/>
      <c r="N9" s="307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10"/>
      <c r="AA9" s="307"/>
      <c r="AB9" s="307"/>
      <c r="AC9" s="307"/>
      <c r="AD9" s="307"/>
      <c r="AE9" s="307"/>
      <c r="AF9" s="338"/>
    </row>
    <row r="10" spans="2:32" x14ac:dyDescent="0.2">
      <c r="B10" s="465">
        <v>107</v>
      </c>
      <c r="C10" s="466" t="s">
        <v>14</v>
      </c>
      <c r="D10" s="310">
        <v>13.1</v>
      </c>
      <c r="E10" s="402">
        <f>D10</f>
        <v>13.1</v>
      </c>
      <c r="F10" s="435"/>
      <c r="G10" s="403"/>
      <c r="H10" s="403"/>
      <c r="I10" s="403"/>
      <c r="J10" s="404"/>
      <c r="K10" s="309"/>
      <c r="L10" s="307">
        <v>4</v>
      </c>
      <c r="M10" s="307"/>
      <c r="N10" s="307"/>
      <c r="O10" s="307"/>
      <c r="P10" s="307"/>
      <c r="Q10" s="307"/>
      <c r="R10" s="307"/>
      <c r="S10" s="307"/>
      <c r="T10" s="307"/>
      <c r="U10" s="307"/>
      <c r="V10" s="307"/>
      <c r="W10" s="307"/>
      <c r="X10" s="307"/>
      <c r="Y10" s="307"/>
      <c r="Z10" s="310"/>
      <c r="AA10" s="307"/>
      <c r="AB10" s="307"/>
      <c r="AC10" s="307"/>
      <c r="AD10" s="307"/>
      <c r="AE10" s="307"/>
      <c r="AF10" s="338"/>
    </row>
    <row r="11" spans="2:32" x14ac:dyDescent="0.2">
      <c r="B11" s="465">
        <v>108</v>
      </c>
      <c r="C11" s="466" t="s">
        <v>15</v>
      </c>
      <c r="D11" s="310">
        <v>19.100000000000001</v>
      </c>
      <c r="E11" s="402">
        <f>D11</f>
        <v>19.100000000000001</v>
      </c>
      <c r="F11" s="435"/>
      <c r="G11" s="403"/>
      <c r="H11" s="403"/>
      <c r="I11" s="403"/>
      <c r="J11" s="404"/>
      <c r="K11" s="309"/>
      <c r="L11" s="307">
        <v>6</v>
      </c>
      <c r="M11" s="307"/>
      <c r="N11" s="307"/>
      <c r="O11" s="307"/>
      <c r="P11" s="307"/>
      <c r="Q11" s="307"/>
      <c r="R11" s="307"/>
      <c r="S11" s="307"/>
      <c r="T11" s="307"/>
      <c r="U11" s="307"/>
      <c r="V11" s="307"/>
      <c r="W11" s="307"/>
      <c r="X11" s="307"/>
      <c r="Y11" s="307"/>
      <c r="Z11" s="310"/>
      <c r="AA11" s="307"/>
      <c r="AB11" s="307"/>
      <c r="AC11" s="307"/>
      <c r="AD11" s="307"/>
      <c r="AE11" s="307"/>
      <c r="AF11" s="338"/>
    </row>
    <row r="12" spans="2:32" x14ac:dyDescent="0.2">
      <c r="B12" s="465">
        <v>109</v>
      </c>
      <c r="C12" s="466" t="s">
        <v>16</v>
      </c>
      <c r="D12" s="310">
        <v>43.7</v>
      </c>
      <c r="E12" s="402"/>
      <c r="F12" s="435"/>
      <c r="G12" s="403"/>
      <c r="H12" s="403">
        <f>D12</f>
        <v>43.7</v>
      </c>
      <c r="I12" s="403"/>
      <c r="J12" s="404"/>
      <c r="K12" s="309"/>
      <c r="L12" s="307"/>
      <c r="M12" s="307"/>
      <c r="N12" s="307">
        <v>11</v>
      </c>
      <c r="O12" s="307"/>
      <c r="P12" s="307"/>
      <c r="Q12" s="307"/>
      <c r="R12" s="307"/>
      <c r="S12" s="307"/>
      <c r="T12" s="307"/>
      <c r="U12" s="307"/>
      <c r="V12" s="307"/>
      <c r="W12" s="307"/>
      <c r="X12" s="307"/>
      <c r="Y12" s="307"/>
      <c r="Z12" s="310"/>
      <c r="AA12" s="307"/>
      <c r="AB12" s="307"/>
      <c r="AC12" s="307"/>
      <c r="AD12" s="307"/>
      <c r="AE12" s="307"/>
      <c r="AF12" s="338"/>
    </row>
    <row r="13" spans="2:32" x14ac:dyDescent="0.2">
      <c r="B13" s="465">
        <v>110</v>
      </c>
      <c r="C13" s="466" t="s">
        <v>17</v>
      </c>
      <c r="D13" s="310">
        <v>4.8</v>
      </c>
      <c r="E13" s="402"/>
      <c r="F13" s="435"/>
      <c r="G13" s="403"/>
      <c r="H13" s="403"/>
      <c r="I13" s="403">
        <f>D13</f>
        <v>4.8</v>
      </c>
      <c r="J13" s="404"/>
      <c r="K13" s="603">
        <v>2</v>
      </c>
      <c r="L13" s="307"/>
      <c r="M13" s="307"/>
      <c r="N13" s="307"/>
      <c r="O13" s="307"/>
      <c r="P13" s="307"/>
      <c r="Q13" s="307"/>
      <c r="R13" s="307"/>
      <c r="S13" s="307"/>
      <c r="T13" s="307"/>
      <c r="U13" s="307"/>
      <c r="V13" s="307"/>
      <c r="W13" s="307"/>
      <c r="X13" s="307"/>
      <c r="Y13" s="307"/>
      <c r="Z13" s="310"/>
      <c r="AA13" s="307"/>
      <c r="AB13" s="307"/>
      <c r="AC13" s="307"/>
      <c r="AD13" s="307"/>
      <c r="AE13" s="307"/>
      <c r="AF13" s="338"/>
    </row>
    <row r="14" spans="2:32" x14ac:dyDescent="0.2">
      <c r="B14" s="465">
        <v>111</v>
      </c>
      <c r="C14" s="466" t="s">
        <v>18</v>
      </c>
      <c r="D14" s="310">
        <v>5.8</v>
      </c>
      <c r="E14" s="402">
        <f>D14</f>
        <v>5.8</v>
      </c>
      <c r="F14" s="435"/>
      <c r="G14" s="403"/>
      <c r="H14" s="403"/>
      <c r="I14" s="403"/>
      <c r="J14" s="404"/>
      <c r="K14" s="309"/>
      <c r="L14" s="307"/>
      <c r="M14" s="307"/>
      <c r="N14" s="307"/>
      <c r="O14" s="307"/>
      <c r="P14" s="307"/>
      <c r="Q14" s="307">
        <v>1</v>
      </c>
      <c r="R14" s="307"/>
      <c r="S14" s="307"/>
      <c r="T14" s="307"/>
      <c r="U14" s="307"/>
      <c r="V14" s="307"/>
      <c r="W14" s="307"/>
      <c r="X14" s="307"/>
      <c r="Y14" s="307"/>
      <c r="Z14" s="310"/>
      <c r="AA14" s="307"/>
      <c r="AB14" s="307"/>
      <c r="AC14" s="307"/>
      <c r="AD14" s="307"/>
      <c r="AE14" s="307"/>
      <c r="AF14" s="338"/>
    </row>
    <row r="15" spans="2:32" x14ac:dyDescent="0.2">
      <c r="B15" s="465">
        <v>112</v>
      </c>
      <c r="C15" s="466" t="s">
        <v>19</v>
      </c>
      <c r="D15" s="310">
        <v>19.5</v>
      </c>
      <c r="E15" s="402"/>
      <c r="F15" s="435"/>
      <c r="G15" s="403"/>
      <c r="H15" s="403">
        <f>D15</f>
        <v>19.5</v>
      </c>
      <c r="I15" s="403"/>
      <c r="J15" s="404"/>
      <c r="K15" s="309">
        <v>10</v>
      </c>
      <c r="L15" s="307"/>
      <c r="M15" s="307"/>
      <c r="N15" s="307"/>
      <c r="O15" s="307"/>
      <c r="P15" s="307"/>
      <c r="Q15" s="307"/>
      <c r="R15" s="307"/>
      <c r="S15" s="307"/>
      <c r="T15" s="307"/>
      <c r="U15" s="307"/>
      <c r="V15" s="307"/>
      <c r="W15" s="307"/>
      <c r="X15" s="307"/>
      <c r="Y15" s="307"/>
      <c r="Z15" s="310"/>
      <c r="AA15" s="307"/>
      <c r="AB15" s="307"/>
      <c r="AC15" s="307"/>
      <c r="AD15" s="307"/>
      <c r="AE15" s="307"/>
      <c r="AF15" s="338"/>
    </row>
    <row r="16" spans="2:32" x14ac:dyDescent="0.2">
      <c r="B16" s="465">
        <v>113</v>
      </c>
      <c r="C16" s="466" t="s">
        <v>20</v>
      </c>
      <c r="D16" s="310">
        <v>6.3</v>
      </c>
      <c r="E16" s="402"/>
      <c r="F16" s="435"/>
      <c r="G16" s="403"/>
      <c r="H16" s="403">
        <f>D16</f>
        <v>6.3</v>
      </c>
      <c r="I16" s="403"/>
      <c r="J16" s="404"/>
      <c r="K16" s="309">
        <v>4</v>
      </c>
      <c r="L16" s="307"/>
      <c r="M16" s="307"/>
      <c r="N16" s="307"/>
      <c r="O16" s="307"/>
      <c r="P16" s="307"/>
      <c r="Q16" s="307"/>
      <c r="R16" s="307"/>
      <c r="S16" s="307"/>
      <c r="T16" s="307"/>
      <c r="U16" s="307"/>
      <c r="V16" s="307"/>
      <c r="W16" s="307"/>
      <c r="X16" s="307"/>
      <c r="Y16" s="307"/>
      <c r="Z16" s="310"/>
      <c r="AA16" s="307"/>
      <c r="AB16" s="307"/>
      <c r="AC16" s="307"/>
      <c r="AD16" s="307"/>
      <c r="AE16" s="307"/>
      <c r="AF16" s="338"/>
    </row>
    <row r="17" spans="2:32" x14ac:dyDescent="0.2">
      <c r="B17" s="465">
        <v>114</v>
      </c>
      <c r="C17" s="466" t="s">
        <v>21</v>
      </c>
      <c r="D17" s="310">
        <v>3.6</v>
      </c>
      <c r="E17" s="402"/>
      <c r="F17" s="435"/>
      <c r="G17" s="403"/>
      <c r="H17" s="403"/>
      <c r="I17" s="403">
        <f>D17</f>
        <v>3.6</v>
      </c>
      <c r="J17" s="404"/>
      <c r="K17" s="309">
        <v>2</v>
      </c>
      <c r="L17" s="307"/>
      <c r="M17" s="307"/>
      <c r="N17" s="307"/>
      <c r="O17" s="307"/>
      <c r="P17" s="307"/>
      <c r="Q17" s="307"/>
      <c r="R17" s="307"/>
      <c r="S17" s="307"/>
      <c r="T17" s="307"/>
      <c r="U17" s="307"/>
      <c r="V17" s="307"/>
      <c r="W17" s="307"/>
      <c r="X17" s="307"/>
      <c r="Y17" s="307"/>
      <c r="Z17" s="310"/>
      <c r="AA17" s="307"/>
      <c r="AB17" s="307"/>
      <c r="AC17" s="307"/>
      <c r="AD17" s="307"/>
      <c r="AE17" s="307"/>
      <c r="AF17" s="338"/>
    </row>
    <row r="18" spans="2:32" x14ac:dyDescent="0.2">
      <c r="B18" s="465">
        <v>115</v>
      </c>
      <c r="C18" s="466" t="s">
        <v>22</v>
      </c>
      <c r="D18" s="310">
        <v>12.7</v>
      </c>
      <c r="E18" s="402"/>
      <c r="F18" s="435"/>
      <c r="G18" s="403"/>
      <c r="H18" s="403">
        <f>D18</f>
        <v>12.7</v>
      </c>
      <c r="I18" s="403"/>
      <c r="J18" s="404"/>
      <c r="K18" s="309">
        <v>4</v>
      </c>
      <c r="L18" s="307"/>
      <c r="M18" s="307"/>
      <c r="N18" s="307"/>
      <c r="O18" s="307"/>
      <c r="P18" s="307"/>
      <c r="Q18" s="307"/>
      <c r="R18" s="307"/>
      <c r="S18" s="307"/>
      <c r="T18" s="307"/>
      <c r="U18" s="307"/>
      <c r="V18" s="307"/>
      <c r="W18" s="307"/>
      <c r="X18" s="307"/>
      <c r="Y18" s="307"/>
      <c r="Z18" s="310"/>
      <c r="AA18" s="307"/>
      <c r="AB18" s="307"/>
      <c r="AC18" s="307"/>
      <c r="AD18" s="307"/>
      <c r="AE18" s="307"/>
      <c r="AF18" s="338"/>
    </row>
    <row r="19" spans="2:32" x14ac:dyDescent="0.2">
      <c r="B19" s="465">
        <v>116</v>
      </c>
      <c r="C19" s="466" t="s">
        <v>23</v>
      </c>
      <c r="D19" s="310">
        <v>2.7</v>
      </c>
      <c r="E19" s="402"/>
      <c r="F19" s="435"/>
      <c r="G19" s="403"/>
      <c r="H19" s="403"/>
      <c r="I19" s="403">
        <f>D19</f>
        <v>2.7</v>
      </c>
      <c r="J19" s="404"/>
      <c r="K19" s="309">
        <v>1</v>
      </c>
      <c r="L19" s="307"/>
      <c r="M19" s="307"/>
      <c r="N19" s="307"/>
      <c r="O19" s="307"/>
      <c r="P19" s="307"/>
      <c r="Q19" s="307"/>
      <c r="R19" s="307"/>
      <c r="S19" s="307"/>
      <c r="T19" s="307"/>
      <c r="U19" s="307"/>
      <c r="V19" s="307"/>
      <c r="W19" s="307"/>
      <c r="X19" s="307"/>
      <c r="Y19" s="307"/>
      <c r="Z19" s="310"/>
      <c r="AA19" s="307"/>
      <c r="AB19" s="307"/>
      <c r="AC19" s="307"/>
      <c r="AD19" s="307"/>
      <c r="AE19" s="307"/>
      <c r="AF19" s="338"/>
    </row>
    <row r="20" spans="2:32" x14ac:dyDescent="0.2">
      <c r="B20" s="465">
        <v>117</v>
      </c>
      <c r="C20" s="466" t="s">
        <v>17</v>
      </c>
      <c r="D20" s="310">
        <v>2.5</v>
      </c>
      <c r="E20" s="402"/>
      <c r="F20" s="435"/>
      <c r="G20" s="403"/>
      <c r="H20" s="403"/>
      <c r="I20" s="403">
        <f>D20</f>
        <v>2.5</v>
      </c>
      <c r="J20" s="404"/>
      <c r="K20" s="309">
        <v>2</v>
      </c>
      <c r="L20" s="307"/>
      <c r="M20" s="307"/>
      <c r="N20" s="307"/>
      <c r="O20" s="307"/>
      <c r="P20" s="307"/>
      <c r="Q20" s="307"/>
      <c r="R20" s="307"/>
      <c r="S20" s="307"/>
      <c r="T20" s="307"/>
      <c r="U20" s="307"/>
      <c r="V20" s="307"/>
      <c r="W20" s="307"/>
      <c r="X20" s="307"/>
      <c r="Y20" s="307"/>
      <c r="Z20" s="310"/>
      <c r="AA20" s="307"/>
      <c r="AB20" s="307"/>
      <c r="AC20" s="307"/>
      <c r="AD20" s="307"/>
      <c r="AE20" s="307"/>
      <c r="AF20" s="338"/>
    </row>
    <row r="21" spans="2:32" x14ac:dyDescent="0.2">
      <c r="B21" s="465">
        <v>118</v>
      </c>
      <c r="C21" s="466" t="s">
        <v>24</v>
      </c>
      <c r="D21" s="310">
        <v>8.1</v>
      </c>
      <c r="E21" s="402">
        <f>D21</f>
        <v>8.1</v>
      </c>
      <c r="F21" s="435"/>
      <c r="G21" s="403"/>
      <c r="H21" s="403"/>
      <c r="I21" s="403"/>
      <c r="J21" s="404"/>
      <c r="K21" s="309"/>
      <c r="L21" s="307"/>
      <c r="M21" s="307"/>
      <c r="N21" s="307"/>
      <c r="O21" s="307"/>
      <c r="P21" s="307"/>
      <c r="Q21" s="307">
        <v>1</v>
      </c>
      <c r="R21" s="307"/>
      <c r="S21" s="307"/>
      <c r="T21" s="307"/>
      <c r="U21" s="307"/>
      <c r="V21" s="307"/>
      <c r="W21" s="307"/>
      <c r="X21" s="307"/>
      <c r="Y21" s="307"/>
      <c r="Z21" s="310"/>
      <c r="AA21" s="307"/>
      <c r="AB21" s="307"/>
      <c r="AC21" s="307"/>
      <c r="AD21" s="307"/>
      <c r="AE21" s="307"/>
      <c r="AF21" s="338"/>
    </row>
    <row r="22" spans="2:32" x14ac:dyDescent="0.2">
      <c r="B22" s="465">
        <v>119</v>
      </c>
      <c r="C22" s="466" t="s">
        <v>11</v>
      </c>
      <c r="D22" s="310">
        <v>24.5</v>
      </c>
      <c r="E22" s="402">
        <v>13.6</v>
      </c>
      <c r="F22" s="435"/>
      <c r="G22" s="403"/>
      <c r="H22" s="403">
        <v>15</v>
      </c>
      <c r="I22" s="403"/>
      <c r="J22" s="404"/>
      <c r="K22" s="309"/>
      <c r="L22" s="307"/>
      <c r="M22" s="307"/>
      <c r="N22" s="307">
        <v>4</v>
      </c>
      <c r="O22" s="307">
        <v>2</v>
      </c>
      <c r="P22" s="307"/>
      <c r="Q22" s="307"/>
      <c r="R22" s="307"/>
      <c r="S22" s="307"/>
      <c r="T22" s="307"/>
      <c r="U22" s="307"/>
      <c r="V22" s="307"/>
      <c r="W22" s="307"/>
      <c r="X22" s="307"/>
      <c r="Y22" s="307"/>
      <c r="Z22" s="310"/>
      <c r="AA22" s="307"/>
      <c r="AB22" s="307"/>
      <c r="AC22" s="307"/>
      <c r="AD22" s="307"/>
      <c r="AE22" s="307"/>
      <c r="AF22" s="338"/>
    </row>
    <row r="23" spans="2:32" x14ac:dyDescent="0.2">
      <c r="B23" s="465">
        <v>120</v>
      </c>
      <c r="C23" s="466" t="s">
        <v>25</v>
      </c>
      <c r="D23" s="310">
        <v>14.9</v>
      </c>
      <c r="E23" s="402"/>
      <c r="F23" s="435"/>
      <c r="G23" s="403"/>
      <c r="H23" s="403"/>
      <c r="I23" s="403">
        <f>D23</f>
        <v>14.9</v>
      </c>
      <c r="J23" s="404"/>
      <c r="K23" s="309">
        <v>8</v>
      </c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10"/>
      <c r="AA23" s="307"/>
      <c r="AB23" s="307"/>
      <c r="AC23" s="307"/>
      <c r="AD23" s="307"/>
      <c r="AE23" s="307"/>
      <c r="AF23" s="338"/>
    </row>
    <row r="24" spans="2:32" x14ac:dyDescent="0.2">
      <c r="B24" s="465">
        <v>121</v>
      </c>
      <c r="C24" s="466" t="s">
        <v>8</v>
      </c>
      <c r="D24" s="310">
        <v>10.7</v>
      </c>
      <c r="E24" s="402">
        <f>D24</f>
        <v>10.7</v>
      </c>
      <c r="F24" s="435"/>
      <c r="G24" s="403"/>
      <c r="H24" s="403"/>
      <c r="I24" s="403"/>
      <c r="J24" s="404"/>
      <c r="K24" s="309"/>
      <c r="L24" s="307"/>
      <c r="M24" s="307"/>
      <c r="N24" s="307"/>
      <c r="O24" s="307">
        <v>2</v>
      </c>
      <c r="P24" s="307"/>
      <c r="Q24" s="307"/>
      <c r="R24" s="307"/>
      <c r="S24" s="307"/>
      <c r="T24" s="307"/>
      <c r="U24" s="307"/>
      <c r="V24" s="307"/>
      <c r="W24" s="307"/>
      <c r="X24" s="307"/>
      <c r="Y24" s="307"/>
      <c r="Z24" s="310"/>
      <c r="AA24" s="307"/>
      <c r="AB24" s="307"/>
      <c r="AC24" s="307"/>
      <c r="AD24" s="307"/>
      <c r="AE24" s="307"/>
      <c r="AF24" s="338"/>
    </row>
    <row r="25" spans="2:32" x14ac:dyDescent="0.2">
      <c r="B25" s="465">
        <v>122</v>
      </c>
      <c r="C25" s="466" t="s">
        <v>26</v>
      </c>
      <c r="D25" s="310">
        <v>48.5</v>
      </c>
      <c r="E25" s="402">
        <f>D25</f>
        <v>48.5</v>
      </c>
      <c r="F25" s="435"/>
      <c r="G25" s="403"/>
      <c r="H25" s="403"/>
      <c r="I25" s="403"/>
      <c r="J25" s="404"/>
      <c r="K25" s="309"/>
      <c r="L25" s="307"/>
      <c r="M25" s="307">
        <v>8</v>
      </c>
      <c r="N25" s="307"/>
      <c r="O25" s="307"/>
      <c r="P25" s="307"/>
      <c r="Q25" s="307"/>
      <c r="R25" s="307"/>
      <c r="S25" s="307"/>
      <c r="T25" s="307">
        <v>1</v>
      </c>
      <c r="U25" s="307"/>
      <c r="V25" s="307"/>
      <c r="W25" s="307"/>
      <c r="X25" s="307"/>
      <c r="Y25" s="307"/>
      <c r="Z25" s="310"/>
      <c r="AA25" s="307"/>
      <c r="AB25" s="307"/>
      <c r="AC25" s="307"/>
      <c r="AD25" s="307"/>
      <c r="AE25" s="307"/>
      <c r="AF25" s="338"/>
    </row>
    <row r="26" spans="2:32" x14ac:dyDescent="0.2">
      <c r="B26" s="465">
        <v>123</v>
      </c>
      <c r="C26" s="466" t="s">
        <v>27</v>
      </c>
      <c r="D26" s="310">
        <v>73.8</v>
      </c>
      <c r="E26" s="402">
        <f>D26-8.8</f>
        <v>65</v>
      </c>
      <c r="F26" s="435">
        <v>10.8</v>
      </c>
      <c r="G26" s="403"/>
      <c r="H26" s="403"/>
      <c r="I26" s="403"/>
      <c r="J26" s="404"/>
      <c r="K26" s="309"/>
      <c r="L26" s="307"/>
      <c r="M26" s="307">
        <v>12</v>
      </c>
      <c r="N26" s="307"/>
      <c r="O26" s="307"/>
      <c r="P26" s="307"/>
      <c r="Q26" s="307"/>
      <c r="R26" s="307"/>
      <c r="S26" s="307"/>
      <c r="T26" s="307"/>
      <c r="U26" s="307"/>
      <c r="V26" s="307"/>
      <c r="W26" s="307"/>
      <c r="X26" s="307"/>
      <c r="Y26" s="307"/>
      <c r="Z26" s="310"/>
      <c r="AA26" s="307"/>
      <c r="AB26" s="307"/>
      <c r="AC26" s="307"/>
      <c r="AD26" s="307"/>
      <c r="AE26" s="307"/>
      <c r="AF26" s="338"/>
    </row>
    <row r="27" spans="2:32" x14ac:dyDescent="0.2">
      <c r="B27" s="465">
        <v>124</v>
      </c>
      <c r="C27" s="466" t="s">
        <v>28</v>
      </c>
      <c r="D27" s="310">
        <v>22.8</v>
      </c>
      <c r="E27" s="402"/>
      <c r="F27" s="435"/>
      <c r="G27" s="403"/>
      <c r="H27" s="403">
        <f>D27</f>
        <v>22.8</v>
      </c>
      <c r="I27" s="403"/>
      <c r="J27" s="404"/>
      <c r="K27" s="309">
        <v>10</v>
      </c>
      <c r="L27" s="307"/>
      <c r="M27" s="307"/>
      <c r="N27" s="307"/>
      <c r="O27" s="307"/>
      <c r="P27" s="307"/>
      <c r="Q27" s="307"/>
      <c r="R27" s="307"/>
      <c r="S27" s="307"/>
      <c r="T27" s="307"/>
      <c r="U27" s="307"/>
      <c r="V27" s="307"/>
      <c r="W27" s="307"/>
      <c r="X27" s="307"/>
      <c r="Y27" s="307"/>
      <c r="Z27" s="310"/>
      <c r="AA27" s="307"/>
      <c r="AB27" s="307"/>
      <c r="AC27" s="307"/>
      <c r="AD27" s="307"/>
      <c r="AE27" s="307"/>
      <c r="AF27" s="338"/>
    </row>
    <row r="28" spans="2:32" x14ac:dyDescent="0.2">
      <c r="B28" s="467">
        <v>125</v>
      </c>
      <c r="C28" s="468" t="s">
        <v>8</v>
      </c>
      <c r="D28" s="469">
        <v>10.7</v>
      </c>
      <c r="E28" s="402">
        <f>D28</f>
        <v>10.7</v>
      </c>
      <c r="F28" s="435"/>
      <c r="G28" s="403"/>
      <c r="H28" s="403"/>
      <c r="I28" s="403"/>
      <c r="J28" s="404"/>
      <c r="K28" s="309"/>
      <c r="L28" s="307"/>
      <c r="M28" s="307"/>
      <c r="N28" s="307"/>
      <c r="O28" s="307">
        <v>2</v>
      </c>
      <c r="P28" s="307"/>
      <c r="Q28" s="307"/>
      <c r="R28" s="307"/>
      <c r="S28" s="307"/>
      <c r="T28" s="307"/>
      <c r="U28" s="307"/>
      <c r="V28" s="307"/>
      <c r="W28" s="307"/>
      <c r="X28" s="307"/>
      <c r="Y28" s="307"/>
      <c r="Z28" s="310"/>
      <c r="AA28" s="307"/>
      <c r="AB28" s="307"/>
      <c r="AC28" s="307"/>
      <c r="AD28" s="307"/>
      <c r="AE28" s="307"/>
      <c r="AF28" s="338"/>
    </row>
    <row r="29" spans="2:32" x14ac:dyDescent="0.2">
      <c r="B29" s="465">
        <v>126</v>
      </c>
      <c r="C29" s="466" t="s">
        <v>29</v>
      </c>
      <c r="D29" s="310">
        <v>50</v>
      </c>
      <c r="E29" s="402">
        <f t="shared" ref="E29:E30" si="0">D29</f>
        <v>50</v>
      </c>
      <c r="F29" s="435"/>
      <c r="G29" s="403"/>
      <c r="H29" s="403"/>
      <c r="I29" s="403"/>
      <c r="J29" s="404"/>
      <c r="K29" s="309"/>
      <c r="L29" s="307"/>
      <c r="M29" s="307">
        <v>8</v>
      </c>
      <c r="N29" s="307"/>
      <c r="O29" s="307"/>
      <c r="P29" s="307"/>
      <c r="Q29" s="307"/>
      <c r="R29" s="307"/>
      <c r="S29" s="307"/>
      <c r="T29" s="307">
        <v>1</v>
      </c>
      <c r="U29" s="307"/>
      <c r="V29" s="307"/>
      <c r="W29" s="307"/>
      <c r="X29" s="307"/>
      <c r="Y29" s="307"/>
      <c r="Z29" s="310"/>
      <c r="AA29" s="307"/>
      <c r="AB29" s="307"/>
      <c r="AC29" s="307"/>
      <c r="AD29" s="307"/>
      <c r="AE29" s="307"/>
      <c r="AF29" s="338"/>
    </row>
    <row r="30" spans="2:32" x14ac:dyDescent="0.2">
      <c r="B30" s="465">
        <v>127</v>
      </c>
      <c r="C30" s="466" t="s">
        <v>30</v>
      </c>
      <c r="D30" s="310">
        <v>73.8</v>
      </c>
      <c r="E30" s="402">
        <f t="shared" si="0"/>
        <v>73.8</v>
      </c>
      <c r="F30" s="435"/>
      <c r="G30" s="403"/>
      <c r="H30" s="403"/>
      <c r="I30" s="403"/>
      <c r="J30" s="404"/>
      <c r="K30" s="309"/>
      <c r="L30" s="307"/>
      <c r="M30" s="307">
        <v>12</v>
      </c>
      <c r="N30" s="307"/>
      <c r="O30" s="307"/>
      <c r="P30" s="307"/>
      <c r="Q30" s="307"/>
      <c r="R30" s="307"/>
      <c r="S30" s="307"/>
      <c r="T30" s="307"/>
      <c r="U30" s="307"/>
      <c r="V30" s="307"/>
      <c r="W30" s="307"/>
      <c r="X30" s="307"/>
      <c r="Y30" s="307"/>
      <c r="Z30" s="310"/>
      <c r="AA30" s="307"/>
      <c r="AB30" s="307"/>
      <c r="AC30" s="307"/>
      <c r="AD30" s="307"/>
      <c r="AE30" s="307"/>
      <c r="AF30" s="338"/>
    </row>
    <row r="31" spans="2:32" x14ac:dyDescent="0.2">
      <c r="B31" s="465">
        <v>128</v>
      </c>
      <c r="C31" s="466" t="s">
        <v>31</v>
      </c>
      <c r="D31" s="310">
        <v>17.7</v>
      </c>
      <c r="E31" s="402"/>
      <c r="F31" s="435"/>
      <c r="G31" s="403"/>
      <c r="H31" s="403">
        <f>D31</f>
        <v>17.7</v>
      </c>
      <c r="I31" s="403"/>
      <c r="J31" s="404"/>
      <c r="K31" s="309">
        <v>8</v>
      </c>
      <c r="L31" s="307"/>
      <c r="M31" s="307"/>
      <c r="N31" s="307"/>
      <c r="O31" s="307"/>
      <c r="P31" s="307"/>
      <c r="Q31" s="307"/>
      <c r="R31" s="307"/>
      <c r="S31" s="307"/>
      <c r="T31" s="307"/>
      <c r="U31" s="307"/>
      <c r="V31" s="307"/>
      <c r="W31" s="307"/>
      <c r="X31" s="307"/>
      <c r="Y31" s="307"/>
      <c r="Z31" s="310"/>
      <c r="AA31" s="307"/>
      <c r="AB31" s="307"/>
      <c r="AC31" s="307"/>
      <c r="AD31" s="307"/>
      <c r="AE31" s="307"/>
      <c r="AF31" s="338"/>
    </row>
    <row r="32" spans="2:32" x14ac:dyDescent="0.2">
      <c r="B32" s="465">
        <v>129</v>
      </c>
      <c r="C32" s="466" t="s">
        <v>32</v>
      </c>
      <c r="D32" s="310">
        <v>4.0999999999999996</v>
      </c>
      <c r="E32" s="402">
        <f>D32</f>
        <v>4.0999999999999996</v>
      </c>
      <c r="F32" s="435"/>
      <c r="G32" s="403"/>
      <c r="H32" s="403"/>
      <c r="I32" s="403"/>
      <c r="J32" s="404"/>
      <c r="K32" s="309"/>
      <c r="L32" s="307"/>
      <c r="M32" s="307"/>
      <c r="N32" s="307"/>
      <c r="O32" s="307">
        <v>2</v>
      </c>
      <c r="P32" s="307"/>
      <c r="Q32" s="307"/>
      <c r="R32" s="307"/>
      <c r="S32" s="307"/>
      <c r="T32" s="307"/>
      <c r="U32" s="307"/>
      <c r="V32" s="307"/>
      <c r="W32" s="307"/>
      <c r="X32" s="307"/>
      <c r="Y32" s="307"/>
      <c r="Z32" s="310"/>
      <c r="AA32" s="307"/>
      <c r="AB32" s="307"/>
      <c r="AC32" s="307"/>
      <c r="AD32" s="307"/>
      <c r="AE32" s="307"/>
      <c r="AF32" s="338"/>
    </row>
    <row r="33" spans="2:32" x14ac:dyDescent="0.2">
      <c r="B33" s="465">
        <v>130</v>
      </c>
      <c r="C33" s="466" t="s">
        <v>33</v>
      </c>
      <c r="D33" s="310">
        <v>31.9</v>
      </c>
      <c r="E33" s="402"/>
      <c r="F33" s="435"/>
      <c r="G33" s="403"/>
      <c r="H33" s="403"/>
      <c r="I33" s="403">
        <f>D33</f>
        <v>31.9</v>
      </c>
      <c r="J33" s="404"/>
      <c r="K33" s="309">
        <v>15</v>
      </c>
      <c r="L33" s="307"/>
      <c r="M33" s="307"/>
      <c r="N33" s="307"/>
      <c r="O33" s="307"/>
      <c r="P33" s="307"/>
      <c r="Q33" s="307"/>
      <c r="R33" s="307"/>
      <c r="S33" s="307"/>
      <c r="T33" s="307"/>
      <c r="U33" s="307"/>
      <c r="V33" s="307"/>
      <c r="W33" s="307"/>
      <c r="X33" s="307"/>
      <c r="Y33" s="307"/>
      <c r="Z33" s="310"/>
      <c r="AA33" s="307"/>
      <c r="AB33" s="307"/>
      <c r="AC33" s="307"/>
      <c r="AD33" s="307"/>
      <c r="AE33" s="307"/>
      <c r="AF33" s="338"/>
    </row>
    <row r="34" spans="2:32" x14ac:dyDescent="0.2">
      <c r="B34" s="465">
        <v>131</v>
      </c>
      <c r="C34" s="466" t="s">
        <v>17</v>
      </c>
      <c r="D34" s="310">
        <v>1.3</v>
      </c>
      <c r="E34" s="402"/>
      <c r="F34" s="435"/>
      <c r="G34" s="403"/>
      <c r="H34" s="403"/>
      <c r="I34" s="403">
        <f>D34</f>
        <v>1.3</v>
      </c>
      <c r="J34" s="404"/>
      <c r="K34" s="309">
        <v>1</v>
      </c>
      <c r="L34" s="307"/>
      <c r="M34" s="307"/>
      <c r="N34" s="307"/>
      <c r="O34" s="307"/>
      <c r="P34" s="307"/>
      <c r="Q34" s="307"/>
      <c r="R34" s="307"/>
      <c r="S34" s="307"/>
      <c r="T34" s="307"/>
      <c r="U34" s="307"/>
      <c r="V34" s="307"/>
      <c r="W34" s="307"/>
      <c r="X34" s="307"/>
      <c r="Y34" s="307"/>
      <c r="Z34" s="310"/>
      <c r="AA34" s="307"/>
      <c r="AB34" s="307"/>
      <c r="AC34" s="307"/>
      <c r="AD34" s="307"/>
      <c r="AE34" s="307"/>
      <c r="AF34" s="338"/>
    </row>
    <row r="35" spans="2:32" x14ac:dyDescent="0.2">
      <c r="B35" s="465">
        <v>132</v>
      </c>
      <c r="C35" s="466" t="s">
        <v>34</v>
      </c>
      <c r="D35" s="310">
        <v>4.2</v>
      </c>
      <c r="E35" s="402">
        <f>D35</f>
        <v>4.2</v>
      </c>
      <c r="F35" s="435"/>
      <c r="G35" s="403"/>
      <c r="H35" s="403"/>
      <c r="I35" s="403"/>
      <c r="J35" s="404"/>
      <c r="K35" s="309"/>
      <c r="L35" s="307"/>
      <c r="M35" s="307"/>
      <c r="N35" s="307"/>
      <c r="O35" s="307">
        <v>2</v>
      </c>
      <c r="P35" s="307"/>
      <c r="Q35" s="307"/>
      <c r="R35" s="307"/>
      <c r="S35" s="307"/>
      <c r="T35" s="307"/>
      <c r="U35" s="307"/>
      <c r="V35" s="307"/>
      <c r="W35" s="307"/>
      <c r="X35" s="307"/>
      <c r="Y35" s="307"/>
      <c r="Z35" s="310"/>
      <c r="AA35" s="307"/>
      <c r="AB35" s="307"/>
      <c r="AC35" s="307"/>
      <c r="AD35" s="307"/>
      <c r="AE35" s="307"/>
      <c r="AF35" s="338"/>
    </row>
    <row r="36" spans="2:32" x14ac:dyDescent="0.2">
      <c r="B36" s="465">
        <v>133</v>
      </c>
      <c r="C36" s="466" t="s">
        <v>35</v>
      </c>
      <c r="D36" s="310">
        <v>17.3</v>
      </c>
      <c r="E36" s="402"/>
      <c r="F36" s="435"/>
      <c r="G36" s="403"/>
      <c r="H36" s="403">
        <f>D36</f>
        <v>17.3</v>
      </c>
      <c r="I36" s="403"/>
      <c r="J36" s="404"/>
      <c r="K36" s="309">
        <v>8</v>
      </c>
      <c r="L36" s="307"/>
      <c r="M36" s="307"/>
      <c r="N36" s="307"/>
      <c r="O36" s="307"/>
      <c r="P36" s="307"/>
      <c r="Q36" s="307"/>
      <c r="R36" s="307"/>
      <c r="S36" s="307"/>
      <c r="T36" s="307"/>
      <c r="U36" s="307"/>
      <c r="V36" s="307"/>
      <c r="W36" s="307"/>
      <c r="X36" s="307"/>
      <c r="Y36" s="307"/>
      <c r="Z36" s="310"/>
      <c r="AA36" s="307"/>
      <c r="AB36" s="307"/>
      <c r="AC36" s="307"/>
      <c r="AD36" s="307"/>
      <c r="AE36" s="307"/>
      <c r="AF36" s="338"/>
    </row>
    <row r="37" spans="2:32" x14ac:dyDescent="0.2">
      <c r="B37" s="465">
        <v>134</v>
      </c>
      <c r="C37" s="466" t="s">
        <v>37</v>
      </c>
      <c r="D37" s="310">
        <v>73.8</v>
      </c>
      <c r="E37" s="402">
        <f>D37</f>
        <v>73.8</v>
      </c>
      <c r="F37" s="435"/>
      <c r="G37" s="403"/>
      <c r="H37" s="403"/>
      <c r="I37" s="403"/>
      <c r="J37" s="404"/>
      <c r="K37" s="309"/>
      <c r="L37" s="307"/>
      <c r="M37" s="307">
        <v>12</v>
      </c>
      <c r="N37" s="307"/>
      <c r="O37" s="307"/>
      <c r="P37" s="307"/>
      <c r="Q37" s="307"/>
      <c r="R37" s="307"/>
      <c r="S37" s="307"/>
      <c r="T37" s="307"/>
      <c r="U37" s="307"/>
      <c r="V37" s="307"/>
      <c r="W37" s="307"/>
      <c r="X37" s="307"/>
      <c r="Y37" s="307"/>
      <c r="Z37" s="310"/>
      <c r="AA37" s="307"/>
      <c r="AB37" s="307"/>
      <c r="AC37" s="307"/>
      <c r="AD37" s="307"/>
      <c r="AE37" s="307"/>
      <c r="AF37" s="338"/>
    </row>
    <row r="38" spans="2:32" x14ac:dyDescent="0.2">
      <c r="B38" s="465">
        <v>135</v>
      </c>
      <c r="C38" s="466" t="s">
        <v>36</v>
      </c>
      <c r="D38" s="310">
        <v>49.5</v>
      </c>
      <c r="E38" s="402">
        <f>D38</f>
        <v>49.5</v>
      </c>
      <c r="F38" s="435"/>
      <c r="G38" s="403"/>
      <c r="H38" s="403"/>
      <c r="I38" s="403"/>
      <c r="J38" s="404"/>
      <c r="K38" s="309"/>
      <c r="L38" s="307"/>
      <c r="M38" s="307">
        <v>8</v>
      </c>
      <c r="N38" s="307"/>
      <c r="O38" s="307"/>
      <c r="P38" s="307"/>
      <c r="Q38" s="307"/>
      <c r="R38" s="307"/>
      <c r="S38" s="307"/>
      <c r="T38" s="307">
        <v>1</v>
      </c>
      <c r="U38" s="307"/>
      <c r="V38" s="307"/>
      <c r="W38" s="307"/>
      <c r="X38" s="307"/>
      <c r="Y38" s="307"/>
      <c r="Z38" s="310"/>
      <c r="AA38" s="307"/>
      <c r="AB38" s="307"/>
      <c r="AC38" s="307"/>
      <c r="AD38" s="307"/>
      <c r="AE38" s="307"/>
      <c r="AF38" s="338"/>
    </row>
    <row r="39" spans="2:32" x14ac:dyDescent="0.2">
      <c r="B39" s="465">
        <v>136</v>
      </c>
      <c r="C39" s="466" t="s">
        <v>38</v>
      </c>
      <c r="D39" s="310">
        <v>49.5</v>
      </c>
      <c r="E39" s="402">
        <f t="shared" ref="E39:E40" si="1">D39</f>
        <v>49.5</v>
      </c>
      <c r="F39" s="435"/>
      <c r="G39" s="403"/>
      <c r="H39" s="403"/>
      <c r="I39" s="403"/>
      <c r="J39" s="404"/>
      <c r="K39" s="309"/>
      <c r="L39" s="307"/>
      <c r="M39" s="307">
        <v>8</v>
      </c>
      <c r="N39" s="307"/>
      <c r="O39" s="307"/>
      <c r="P39" s="307"/>
      <c r="Q39" s="307"/>
      <c r="R39" s="307"/>
      <c r="S39" s="307"/>
      <c r="T39" s="307">
        <v>1</v>
      </c>
      <c r="U39" s="307"/>
      <c r="V39" s="307"/>
      <c r="W39" s="307"/>
      <c r="X39" s="307"/>
      <c r="Y39" s="307"/>
      <c r="Z39" s="310"/>
      <c r="AA39" s="307"/>
      <c r="AB39" s="307"/>
      <c r="AC39" s="307"/>
      <c r="AD39" s="307"/>
      <c r="AE39" s="307"/>
      <c r="AF39" s="338"/>
    </row>
    <row r="40" spans="2:32" x14ac:dyDescent="0.2">
      <c r="B40" s="465">
        <v>137</v>
      </c>
      <c r="C40" s="466" t="s">
        <v>39</v>
      </c>
      <c r="D40" s="310">
        <v>73.8</v>
      </c>
      <c r="E40" s="402">
        <f t="shared" si="1"/>
        <v>73.8</v>
      </c>
      <c r="F40" s="435"/>
      <c r="G40" s="403"/>
      <c r="H40" s="403"/>
      <c r="I40" s="403"/>
      <c r="J40" s="404"/>
      <c r="K40" s="309"/>
      <c r="L40" s="307"/>
      <c r="M40" s="307">
        <v>12</v>
      </c>
      <c r="N40" s="307"/>
      <c r="O40" s="307"/>
      <c r="P40" s="307"/>
      <c r="Q40" s="307"/>
      <c r="R40" s="307"/>
      <c r="S40" s="307"/>
      <c r="T40" s="307"/>
      <c r="U40" s="307"/>
      <c r="V40" s="307"/>
      <c r="W40" s="307"/>
      <c r="X40" s="307"/>
      <c r="Y40" s="307"/>
      <c r="Z40" s="310"/>
      <c r="AA40" s="307"/>
      <c r="AB40" s="307"/>
      <c r="AC40" s="307"/>
      <c r="AD40" s="307"/>
      <c r="AE40" s="307"/>
      <c r="AF40" s="338"/>
    </row>
    <row r="41" spans="2:32" x14ac:dyDescent="0.2">
      <c r="B41" s="465">
        <v>138</v>
      </c>
      <c r="C41" s="466" t="s">
        <v>40</v>
      </c>
      <c r="D41" s="310">
        <v>17.3</v>
      </c>
      <c r="E41" s="402"/>
      <c r="F41" s="435"/>
      <c r="G41" s="403"/>
      <c r="H41" s="403">
        <f>D41</f>
        <v>17.3</v>
      </c>
      <c r="I41" s="403"/>
      <c r="J41" s="404"/>
      <c r="K41" s="309">
        <v>8</v>
      </c>
      <c r="L41" s="307"/>
      <c r="M41" s="307"/>
      <c r="N41" s="307"/>
      <c r="O41" s="307"/>
      <c r="P41" s="307"/>
      <c r="Q41" s="307"/>
      <c r="R41" s="307"/>
      <c r="S41" s="307"/>
      <c r="T41" s="307"/>
      <c r="U41" s="307"/>
      <c r="V41" s="307"/>
      <c r="W41" s="307"/>
      <c r="X41" s="307"/>
      <c r="Y41" s="307"/>
      <c r="Z41" s="310"/>
      <c r="AA41" s="307"/>
      <c r="AB41" s="307"/>
      <c r="AC41" s="307"/>
      <c r="AD41" s="307"/>
      <c r="AE41" s="307"/>
      <c r="AF41" s="338"/>
    </row>
    <row r="42" spans="2:32" x14ac:dyDescent="0.2">
      <c r="B42" s="465">
        <v>139</v>
      </c>
      <c r="C42" s="466" t="s">
        <v>41</v>
      </c>
      <c r="D42" s="310">
        <v>4.2</v>
      </c>
      <c r="E42" s="402">
        <f>D42</f>
        <v>4.2</v>
      </c>
      <c r="F42" s="435"/>
      <c r="G42" s="403"/>
      <c r="H42" s="403"/>
      <c r="I42" s="403"/>
      <c r="J42" s="404"/>
      <c r="K42" s="309"/>
      <c r="L42" s="307"/>
      <c r="M42" s="307"/>
      <c r="N42" s="307"/>
      <c r="O42" s="307">
        <v>2</v>
      </c>
      <c r="P42" s="307"/>
      <c r="Q42" s="307"/>
      <c r="R42" s="307"/>
      <c r="S42" s="307"/>
      <c r="T42" s="307"/>
      <c r="U42" s="307"/>
      <c r="V42" s="307"/>
      <c r="W42" s="307"/>
      <c r="X42" s="307"/>
      <c r="Y42" s="307"/>
      <c r="Z42" s="310"/>
      <c r="AA42" s="307"/>
      <c r="AB42" s="307"/>
      <c r="AC42" s="307"/>
      <c r="AD42" s="307"/>
      <c r="AE42" s="307"/>
      <c r="AF42" s="338"/>
    </row>
    <row r="43" spans="2:32" x14ac:dyDescent="0.2">
      <c r="B43" s="465">
        <v>140</v>
      </c>
      <c r="C43" s="466" t="s">
        <v>42</v>
      </c>
      <c r="D43" s="310">
        <v>31.9</v>
      </c>
      <c r="E43" s="402"/>
      <c r="F43" s="435"/>
      <c r="G43" s="403"/>
      <c r="H43" s="403"/>
      <c r="I43" s="403">
        <f>D43</f>
        <v>31.9</v>
      </c>
      <c r="J43" s="404"/>
      <c r="K43" s="309">
        <v>15</v>
      </c>
      <c r="L43" s="307"/>
      <c r="M43" s="307"/>
      <c r="N43" s="307"/>
      <c r="O43" s="307"/>
      <c r="P43" s="307"/>
      <c r="Q43" s="307"/>
      <c r="R43" s="307"/>
      <c r="S43" s="307"/>
      <c r="T43" s="307"/>
      <c r="U43" s="307"/>
      <c r="V43" s="307"/>
      <c r="W43" s="307"/>
      <c r="X43" s="307"/>
      <c r="Y43" s="307"/>
      <c r="Z43" s="310"/>
      <c r="AA43" s="307"/>
      <c r="AB43" s="307"/>
      <c r="AC43" s="307"/>
      <c r="AD43" s="307"/>
      <c r="AE43" s="307"/>
      <c r="AF43" s="338"/>
    </row>
    <row r="44" spans="2:32" x14ac:dyDescent="0.2">
      <c r="B44" s="465">
        <v>141</v>
      </c>
      <c r="C44" s="466" t="s">
        <v>17</v>
      </c>
      <c r="D44" s="310">
        <v>1.3</v>
      </c>
      <c r="E44" s="402"/>
      <c r="F44" s="435"/>
      <c r="G44" s="403"/>
      <c r="H44" s="403"/>
      <c r="I44" s="403">
        <f>D44</f>
        <v>1.3</v>
      </c>
      <c r="J44" s="404"/>
      <c r="K44" s="309">
        <v>1</v>
      </c>
      <c r="L44" s="307"/>
      <c r="M44" s="307"/>
      <c r="N44" s="307"/>
      <c r="O44" s="307"/>
      <c r="P44" s="307"/>
      <c r="Q44" s="307"/>
      <c r="R44" s="307"/>
      <c r="S44" s="307"/>
      <c r="T44" s="307"/>
      <c r="U44" s="307"/>
      <c r="V44" s="307"/>
      <c r="W44" s="307"/>
      <c r="X44" s="307"/>
      <c r="Y44" s="307"/>
      <c r="Z44" s="310"/>
      <c r="AA44" s="307"/>
      <c r="AB44" s="307"/>
      <c r="AC44" s="307"/>
      <c r="AD44" s="307"/>
      <c r="AE44" s="307"/>
      <c r="AF44" s="338"/>
    </row>
    <row r="45" spans="2:32" x14ac:dyDescent="0.2">
      <c r="B45" s="465">
        <v>142</v>
      </c>
      <c r="C45" s="466" t="s">
        <v>43</v>
      </c>
      <c r="D45" s="310">
        <v>4.0999999999999996</v>
      </c>
      <c r="E45" s="402">
        <f>D45</f>
        <v>4.0999999999999996</v>
      </c>
      <c r="F45" s="435"/>
      <c r="G45" s="403"/>
      <c r="H45" s="403"/>
      <c r="I45" s="403"/>
      <c r="J45" s="404"/>
      <c r="K45" s="309"/>
      <c r="L45" s="307"/>
      <c r="M45" s="307"/>
      <c r="N45" s="307"/>
      <c r="O45" s="307">
        <v>2</v>
      </c>
      <c r="P45" s="307"/>
      <c r="Q45" s="307"/>
      <c r="R45" s="307"/>
      <c r="S45" s="307"/>
      <c r="T45" s="307"/>
      <c r="U45" s="307"/>
      <c r="V45" s="307"/>
      <c r="W45" s="307"/>
      <c r="X45" s="307"/>
      <c r="Y45" s="307"/>
      <c r="Z45" s="310"/>
      <c r="AA45" s="307"/>
      <c r="AB45" s="307"/>
      <c r="AC45" s="307"/>
      <c r="AD45" s="307"/>
      <c r="AE45" s="307"/>
      <c r="AF45" s="338"/>
    </row>
    <row r="46" spans="2:32" x14ac:dyDescent="0.2">
      <c r="B46" s="465">
        <v>143</v>
      </c>
      <c r="C46" s="466" t="s">
        <v>44</v>
      </c>
      <c r="D46" s="310">
        <v>17.7</v>
      </c>
      <c r="E46" s="402"/>
      <c r="F46" s="435"/>
      <c r="G46" s="403"/>
      <c r="H46" s="403">
        <f>D46</f>
        <v>17.7</v>
      </c>
      <c r="I46" s="403"/>
      <c r="J46" s="404"/>
      <c r="K46" s="309">
        <v>8</v>
      </c>
      <c r="L46" s="307"/>
      <c r="M46" s="307"/>
      <c r="N46" s="307"/>
      <c r="O46" s="307"/>
      <c r="P46" s="307"/>
      <c r="Q46" s="307"/>
      <c r="R46" s="307"/>
      <c r="S46" s="307"/>
      <c r="T46" s="307"/>
      <c r="U46" s="307"/>
      <c r="V46" s="307"/>
      <c r="W46" s="307"/>
      <c r="X46" s="307"/>
      <c r="Y46" s="307"/>
      <c r="Z46" s="310"/>
      <c r="AA46" s="307"/>
      <c r="AB46" s="307"/>
      <c r="AC46" s="307"/>
      <c r="AD46" s="307"/>
      <c r="AE46" s="307"/>
      <c r="AF46" s="338"/>
    </row>
    <row r="47" spans="2:32" x14ac:dyDescent="0.2">
      <c r="B47" s="465">
        <v>144</v>
      </c>
      <c r="C47" s="466" t="s">
        <v>45</v>
      </c>
      <c r="D47" s="310">
        <v>73.8</v>
      </c>
      <c r="E47" s="402">
        <f>D47</f>
        <v>73.8</v>
      </c>
      <c r="F47" s="435"/>
      <c r="G47" s="403"/>
      <c r="H47" s="403"/>
      <c r="I47" s="403"/>
      <c r="J47" s="404"/>
      <c r="K47" s="309"/>
      <c r="L47" s="307"/>
      <c r="M47" s="307">
        <v>12</v>
      </c>
      <c r="N47" s="307"/>
      <c r="O47" s="307"/>
      <c r="P47" s="307"/>
      <c r="Q47" s="307"/>
      <c r="R47" s="307"/>
      <c r="S47" s="307"/>
      <c r="T47" s="307"/>
      <c r="U47" s="307"/>
      <c r="V47" s="307"/>
      <c r="W47" s="307"/>
      <c r="X47" s="307"/>
      <c r="Y47" s="307"/>
      <c r="Z47" s="310"/>
      <c r="AA47" s="307"/>
      <c r="AB47" s="307"/>
      <c r="AC47" s="307"/>
      <c r="AD47" s="307"/>
      <c r="AE47" s="307"/>
      <c r="AF47" s="338"/>
    </row>
    <row r="48" spans="2:32" x14ac:dyDescent="0.2">
      <c r="B48" s="465">
        <v>145</v>
      </c>
      <c r="C48" s="466" t="s">
        <v>46</v>
      </c>
      <c r="D48" s="310">
        <v>50</v>
      </c>
      <c r="E48" s="402">
        <f>D48</f>
        <v>50</v>
      </c>
      <c r="F48" s="435"/>
      <c r="G48" s="403"/>
      <c r="H48" s="403"/>
      <c r="I48" s="403"/>
      <c r="J48" s="404"/>
      <c r="K48" s="309"/>
      <c r="L48" s="307"/>
      <c r="M48" s="307">
        <v>8</v>
      </c>
      <c r="N48" s="307"/>
      <c r="O48" s="307"/>
      <c r="P48" s="307"/>
      <c r="Q48" s="307"/>
      <c r="R48" s="307"/>
      <c r="S48" s="307"/>
      <c r="T48" s="307">
        <v>1</v>
      </c>
      <c r="U48" s="307"/>
      <c r="V48" s="307"/>
      <c r="W48" s="307"/>
      <c r="X48" s="307"/>
      <c r="Y48" s="307"/>
      <c r="Z48" s="310"/>
      <c r="AA48" s="307"/>
      <c r="AB48" s="307"/>
      <c r="AC48" s="307"/>
      <c r="AD48" s="307"/>
      <c r="AE48" s="307"/>
      <c r="AF48" s="338"/>
    </row>
    <row r="49" spans="2:32" x14ac:dyDescent="0.2">
      <c r="B49" s="465">
        <v>146</v>
      </c>
      <c r="C49" s="466" t="s">
        <v>47</v>
      </c>
      <c r="D49" s="310">
        <v>73.8</v>
      </c>
      <c r="E49" s="402">
        <f>D49-8.8</f>
        <v>65</v>
      </c>
      <c r="F49" s="435">
        <v>10.8</v>
      </c>
      <c r="G49" s="403"/>
      <c r="H49" s="403"/>
      <c r="I49" s="403"/>
      <c r="J49" s="404"/>
      <c r="K49" s="309"/>
      <c r="L49" s="307"/>
      <c r="M49" s="307">
        <v>12</v>
      </c>
      <c r="N49" s="307"/>
      <c r="O49" s="307"/>
      <c r="P49" s="307"/>
      <c r="Q49" s="307"/>
      <c r="R49" s="307"/>
      <c r="S49" s="307"/>
      <c r="T49" s="307"/>
      <c r="U49" s="307"/>
      <c r="V49" s="307"/>
      <c r="W49" s="307"/>
      <c r="X49" s="307"/>
      <c r="Y49" s="307"/>
      <c r="Z49" s="310"/>
      <c r="AA49" s="307"/>
      <c r="AB49" s="307"/>
      <c r="AC49" s="307"/>
      <c r="AD49" s="307"/>
      <c r="AE49" s="307"/>
      <c r="AF49" s="338"/>
    </row>
    <row r="50" spans="2:32" x14ac:dyDescent="0.2">
      <c r="B50" s="465">
        <v>147</v>
      </c>
      <c r="C50" s="466" t="s">
        <v>48</v>
      </c>
      <c r="D50" s="310">
        <v>22.7</v>
      </c>
      <c r="E50" s="402"/>
      <c r="F50" s="435"/>
      <c r="G50" s="403"/>
      <c r="H50" s="403">
        <f>D50</f>
        <v>22.7</v>
      </c>
      <c r="I50" s="403"/>
      <c r="J50" s="404"/>
      <c r="K50" s="309">
        <v>10</v>
      </c>
      <c r="L50" s="307"/>
      <c r="M50" s="307"/>
      <c r="N50" s="307"/>
      <c r="O50" s="307"/>
      <c r="P50" s="307"/>
      <c r="Q50" s="307"/>
      <c r="R50" s="307"/>
      <c r="S50" s="307"/>
      <c r="T50" s="307"/>
      <c r="U50" s="307"/>
      <c r="V50" s="307"/>
      <c r="W50" s="307"/>
      <c r="X50" s="307"/>
      <c r="Y50" s="307"/>
      <c r="Z50" s="310"/>
      <c r="AA50" s="307"/>
      <c r="AB50" s="307"/>
      <c r="AC50" s="307"/>
      <c r="AD50" s="307"/>
      <c r="AE50" s="307"/>
      <c r="AF50" s="338"/>
    </row>
    <row r="51" spans="2:32" x14ac:dyDescent="0.2">
      <c r="B51" s="465">
        <v>148</v>
      </c>
      <c r="C51" s="466" t="s">
        <v>49</v>
      </c>
      <c r="D51" s="310">
        <v>48.5</v>
      </c>
      <c r="E51" s="402">
        <f>D51</f>
        <v>48.5</v>
      </c>
      <c r="F51" s="435"/>
      <c r="G51" s="403"/>
      <c r="H51" s="403"/>
      <c r="I51" s="403"/>
      <c r="J51" s="404"/>
      <c r="K51" s="309"/>
      <c r="L51" s="307"/>
      <c r="M51" s="307">
        <v>8</v>
      </c>
      <c r="N51" s="307"/>
      <c r="O51" s="307"/>
      <c r="P51" s="307"/>
      <c r="Q51" s="307"/>
      <c r="R51" s="307"/>
      <c r="S51" s="307"/>
      <c r="T51" s="307">
        <v>1</v>
      </c>
      <c r="U51" s="307"/>
      <c r="V51" s="307"/>
      <c r="W51" s="307"/>
      <c r="X51" s="307"/>
      <c r="Y51" s="307"/>
      <c r="Z51" s="310"/>
      <c r="AA51" s="307"/>
      <c r="AB51" s="307"/>
      <c r="AC51" s="307"/>
      <c r="AD51" s="307"/>
      <c r="AE51" s="307"/>
      <c r="AF51" s="338"/>
    </row>
    <row r="52" spans="2:32" x14ac:dyDescent="0.2">
      <c r="B52" s="465">
        <v>149</v>
      </c>
      <c r="C52" s="466" t="s">
        <v>50</v>
      </c>
      <c r="D52" s="310">
        <v>14.9</v>
      </c>
      <c r="E52" s="402"/>
      <c r="F52" s="435"/>
      <c r="G52" s="403"/>
      <c r="H52" s="403"/>
      <c r="I52" s="403">
        <f>D52</f>
        <v>14.9</v>
      </c>
      <c r="J52" s="404"/>
      <c r="K52" s="309">
        <v>8</v>
      </c>
      <c r="L52" s="307"/>
      <c r="M52" s="307"/>
      <c r="N52" s="307"/>
      <c r="O52" s="307"/>
      <c r="P52" s="307"/>
      <c r="Q52" s="307"/>
      <c r="R52" s="307"/>
      <c r="S52" s="307"/>
      <c r="T52" s="307"/>
      <c r="U52" s="307"/>
      <c r="V52" s="307"/>
      <c r="W52" s="307"/>
      <c r="X52" s="307"/>
      <c r="Y52" s="307"/>
      <c r="Z52" s="310"/>
      <c r="AA52" s="307"/>
      <c r="AB52" s="307"/>
      <c r="AC52" s="307"/>
      <c r="AD52" s="307"/>
      <c r="AE52" s="307"/>
      <c r="AF52" s="338"/>
    </row>
    <row r="53" spans="2:32" x14ac:dyDescent="0.2">
      <c r="B53" s="465">
        <v>150</v>
      </c>
      <c r="C53" s="466" t="s">
        <v>11</v>
      </c>
      <c r="D53" s="310">
        <v>24.4</v>
      </c>
      <c r="E53" s="402">
        <v>13.6</v>
      </c>
      <c r="F53" s="435"/>
      <c r="G53" s="403"/>
      <c r="H53" s="403">
        <v>16</v>
      </c>
      <c r="I53" s="403"/>
      <c r="J53" s="404"/>
      <c r="K53" s="309"/>
      <c r="L53" s="307"/>
      <c r="M53" s="307"/>
      <c r="N53" s="307">
        <v>4</v>
      </c>
      <c r="O53" s="607">
        <v>2</v>
      </c>
      <c r="P53" s="307"/>
      <c r="Q53" s="307"/>
      <c r="R53" s="307"/>
      <c r="S53" s="307"/>
      <c r="T53" s="307"/>
      <c r="U53" s="307"/>
      <c r="V53" s="307"/>
      <c r="W53" s="307"/>
      <c r="X53" s="307"/>
      <c r="Y53" s="307"/>
      <c r="Z53" s="310"/>
      <c r="AA53" s="307"/>
      <c r="AB53" s="307"/>
      <c r="AC53" s="307"/>
      <c r="AD53" s="307"/>
      <c r="AE53" s="307"/>
      <c r="AF53" s="338"/>
    </row>
    <row r="54" spans="2:32" x14ac:dyDescent="0.2">
      <c r="B54" s="465">
        <v>151</v>
      </c>
      <c r="C54" s="466" t="s">
        <v>16</v>
      </c>
      <c r="D54" s="310">
        <v>36.6</v>
      </c>
      <c r="E54" s="402"/>
      <c r="F54" s="435"/>
      <c r="G54" s="403"/>
      <c r="H54" s="403">
        <f>D54</f>
        <v>36.6</v>
      </c>
      <c r="I54" s="403"/>
      <c r="J54" s="404"/>
      <c r="K54" s="309"/>
      <c r="L54" s="307"/>
      <c r="M54" s="307"/>
      <c r="N54" s="307">
        <v>10</v>
      </c>
      <c r="O54" s="307"/>
      <c r="P54" s="307"/>
      <c r="Q54" s="307"/>
      <c r="R54" s="307"/>
      <c r="S54" s="307"/>
      <c r="T54" s="307"/>
      <c r="U54" s="307"/>
      <c r="V54" s="307"/>
      <c r="W54" s="307"/>
      <c r="X54" s="307"/>
      <c r="Y54" s="307"/>
      <c r="Z54" s="310"/>
      <c r="AA54" s="307"/>
      <c r="AB54" s="307"/>
      <c r="AC54" s="307"/>
      <c r="AD54" s="307"/>
      <c r="AE54" s="307"/>
      <c r="AF54" s="338"/>
    </row>
    <row r="55" spans="2:32" x14ac:dyDescent="0.2">
      <c r="B55" s="465">
        <v>152</v>
      </c>
      <c r="C55" s="466" t="s">
        <v>51</v>
      </c>
      <c r="D55" s="310">
        <v>3.6</v>
      </c>
      <c r="E55" s="309"/>
      <c r="F55" s="339">
        <f>D55</f>
        <v>3.6</v>
      </c>
      <c r="G55" s="307"/>
      <c r="H55" s="307"/>
      <c r="I55" s="307"/>
      <c r="J55" s="310"/>
      <c r="K55" s="309"/>
      <c r="L55" s="307"/>
      <c r="M55" s="307"/>
      <c r="N55" s="307"/>
      <c r="O55" s="307"/>
      <c r="P55" s="307"/>
      <c r="Q55" s="307"/>
      <c r="R55" s="307">
        <v>1</v>
      </c>
      <c r="S55" s="307"/>
      <c r="T55" s="307"/>
      <c r="U55" s="307"/>
      <c r="V55" s="307"/>
      <c r="W55" s="307"/>
      <c r="X55" s="307"/>
      <c r="Y55" s="307"/>
      <c r="Z55" s="310"/>
      <c r="AA55" s="307"/>
      <c r="AB55" s="307"/>
      <c r="AC55" s="307"/>
      <c r="AD55" s="307"/>
      <c r="AE55" s="307"/>
      <c r="AF55" s="338"/>
    </row>
    <row r="56" spans="2:32" x14ac:dyDescent="0.2">
      <c r="B56" s="465">
        <v>153</v>
      </c>
      <c r="C56" s="466" t="s">
        <v>52</v>
      </c>
      <c r="D56" s="310">
        <v>4</v>
      </c>
      <c r="E56" s="309"/>
      <c r="F56" s="339">
        <f>D56</f>
        <v>4</v>
      </c>
      <c r="G56" s="307"/>
      <c r="H56" s="307"/>
      <c r="I56" s="307"/>
      <c r="J56" s="310"/>
      <c r="K56" s="309"/>
      <c r="L56" s="307"/>
      <c r="M56" s="307"/>
      <c r="N56" s="307"/>
      <c r="O56" s="307"/>
      <c r="P56" s="307"/>
      <c r="Q56" s="307"/>
      <c r="R56" s="307">
        <v>1</v>
      </c>
      <c r="S56" s="307"/>
      <c r="T56" s="307"/>
      <c r="U56" s="307"/>
      <c r="V56" s="307"/>
      <c r="W56" s="307"/>
      <c r="X56" s="307"/>
      <c r="Y56" s="307"/>
      <c r="Z56" s="310"/>
      <c r="AA56" s="307"/>
      <c r="AB56" s="307"/>
      <c r="AC56" s="307"/>
      <c r="AD56" s="307"/>
      <c r="AE56" s="307"/>
      <c r="AF56" s="338"/>
    </row>
    <row r="57" spans="2:32" x14ac:dyDescent="0.2">
      <c r="B57" s="465">
        <v>154</v>
      </c>
      <c r="C57" s="466" t="s">
        <v>53</v>
      </c>
      <c r="D57" s="310">
        <v>15.6</v>
      </c>
      <c r="E57" s="309"/>
      <c r="F57" s="339">
        <f t="shared" ref="F57:F64" si="2">D57</f>
        <v>15.6</v>
      </c>
      <c r="G57" s="307"/>
      <c r="H57" s="307"/>
      <c r="I57" s="307"/>
      <c r="J57" s="310"/>
      <c r="K57" s="309"/>
      <c r="L57" s="307"/>
      <c r="M57" s="307"/>
      <c r="N57" s="307"/>
      <c r="O57" s="307"/>
      <c r="P57" s="307"/>
      <c r="Q57" s="307"/>
      <c r="R57" s="307">
        <v>4</v>
      </c>
      <c r="S57" s="307"/>
      <c r="T57" s="307"/>
      <c r="U57" s="307"/>
      <c r="V57" s="307"/>
      <c r="W57" s="307"/>
      <c r="X57" s="307"/>
      <c r="Y57" s="307"/>
      <c r="Z57" s="310"/>
      <c r="AA57" s="307"/>
      <c r="AB57" s="307"/>
      <c r="AC57" s="307"/>
      <c r="AD57" s="307"/>
      <c r="AE57" s="307"/>
      <c r="AF57" s="338"/>
    </row>
    <row r="58" spans="2:32" x14ac:dyDescent="0.2">
      <c r="B58" s="465">
        <v>155</v>
      </c>
      <c r="C58" s="466" t="s">
        <v>16</v>
      </c>
      <c r="D58" s="310">
        <v>12.1</v>
      </c>
      <c r="E58" s="309"/>
      <c r="F58" s="339">
        <f t="shared" si="2"/>
        <v>12.1</v>
      </c>
      <c r="G58" s="307"/>
      <c r="H58" s="307"/>
      <c r="I58" s="307"/>
      <c r="J58" s="310"/>
      <c r="K58" s="309"/>
      <c r="L58" s="307"/>
      <c r="M58" s="307"/>
      <c r="N58" s="307"/>
      <c r="O58" s="307"/>
      <c r="P58" s="307"/>
      <c r="Q58" s="307"/>
      <c r="R58" s="307">
        <v>4</v>
      </c>
      <c r="S58" s="307"/>
      <c r="T58" s="307"/>
      <c r="U58" s="307"/>
      <c r="V58" s="307"/>
      <c r="W58" s="307"/>
      <c r="X58" s="307"/>
      <c r="Y58" s="307"/>
      <c r="Z58" s="310"/>
      <c r="AA58" s="307"/>
      <c r="AB58" s="307"/>
      <c r="AC58" s="307"/>
      <c r="AD58" s="307"/>
      <c r="AE58" s="307"/>
      <c r="AF58" s="338"/>
    </row>
    <row r="59" spans="2:32" x14ac:dyDescent="0.2">
      <c r="B59" s="465">
        <v>156</v>
      </c>
      <c r="C59" s="466" t="s">
        <v>54</v>
      </c>
      <c r="D59" s="310">
        <v>5.0999999999999996</v>
      </c>
      <c r="E59" s="309"/>
      <c r="F59" s="339">
        <f t="shared" si="2"/>
        <v>5.0999999999999996</v>
      </c>
      <c r="G59" s="307"/>
      <c r="H59" s="307"/>
      <c r="I59" s="307"/>
      <c r="J59" s="310"/>
      <c r="K59" s="309"/>
      <c r="L59" s="307"/>
      <c r="M59" s="307"/>
      <c r="N59" s="307"/>
      <c r="O59" s="307"/>
      <c r="P59" s="307"/>
      <c r="Q59" s="307"/>
      <c r="R59" s="307">
        <v>1</v>
      </c>
      <c r="S59" s="307"/>
      <c r="T59" s="307"/>
      <c r="U59" s="307"/>
      <c r="V59" s="307"/>
      <c r="W59" s="307"/>
      <c r="X59" s="307"/>
      <c r="Y59" s="307"/>
      <c r="Z59" s="310"/>
      <c r="AA59" s="307"/>
      <c r="AB59" s="307"/>
      <c r="AC59" s="307"/>
      <c r="AD59" s="307"/>
      <c r="AE59" s="307"/>
      <c r="AF59" s="338"/>
    </row>
    <row r="60" spans="2:32" x14ac:dyDescent="0.2">
      <c r="B60" s="465">
        <v>157</v>
      </c>
      <c r="C60" s="466" t="s">
        <v>22</v>
      </c>
      <c r="D60" s="310">
        <v>3.9</v>
      </c>
      <c r="E60" s="309"/>
      <c r="F60" s="339">
        <f t="shared" si="2"/>
        <v>3.9</v>
      </c>
      <c r="G60" s="307"/>
      <c r="H60" s="307"/>
      <c r="I60" s="307"/>
      <c r="J60" s="310"/>
      <c r="K60" s="309">
        <v>1</v>
      </c>
      <c r="L60" s="307"/>
      <c r="M60" s="307"/>
      <c r="N60" s="307"/>
      <c r="O60" s="307"/>
      <c r="P60" s="307"/>
      <c r="Q60" s="307"/>
      <c r="R60" s="307"/>
      <c r="S60" s="307"/>
      <c r="T60" s="307"/>
      <c r="U60" s="307"/>
      <c r="V60" s="307"/>
      <c r="W60" s="307"/>
      <c r="X60" s="307"/>
      <c r="Y60" s="307"/>
      <c r="Z60" s="310"/>
      <c r="AA60" s="307"/>
      <c r="AB60" s="307"/>
      <c r="AC60" s="307"/>
      <c r="AD60" s="307"/>
      <c r="AE60" s="307"/>
      <c r="AF60" s="338"/>
    </row>
    <row r="61" spans="2:32" x14ac:dyDescent="0.2">
      <c r="B61" s="465">
        <v>158</v>
      </c>
      <c r="C61" s="466" t="s">
        <v>55</v>
      </c>
      <c r="D61" s="310">
        <v>2</v>
      </c>
      <c r="E61" s="309"/>
      <c r="F61" s="339">
        <f t="shared" si="2"/>
        <v>2</v>
      </c>
      <c r="G61" s="307"/>
      <c r="H61" s="307"/>
      <c r="I61" s="307"/>
      <c r="J61" s="310"/>
      <c r="K61" s="309">
        <v>1</v>
      </c>
      <c r="L61" s="307"/>
      <c r="M61" s="307"/>
      <c r="N61" s="307"/>
      <c r="O61" s="307"/>
      <c r="P61" s="307"/>
      <c r="Q61" s="307"/>
      <c r="R61" s="307"/>
      <c r="S61" s="307"/>
      <c r="T61" s="307"/>
      <c r="U61" s="307"/>
      <c r="V61" s="307"/>
      <c r="W61" s="307"/>
      <c r="X61" s="307"/>
      <c r="Y61" s="307"/>
      <c r="Z61" s="310"/>
      <c r="AA61" s="307"/>
      <c r="AB61" s="307"/>
      <c r="AC61" s="307"/>
      <c r="AD61" s="307"/>
      <c r="AE61" s="307"/>
      <c r="AF61" s="338"/>
    </row>
    <row r="62" spans="2:32" x14ac:dyDescent="0.2">
      <c r="B62" s="465">
        <v>159</v>
      </c>
      <c r="C62" s="466" t="s">
        <v>17</v>
      </c>
      <c r="D62" s="310">
        <v>2.2999999999999998</v>
      </c>
      <c r="E62" s="309"/>
      <c r="F62" s="339">
        <f t="shared" si="2"/>
        <v>2.2999999999999998</v>
      </c>
      <c r="G62" s="307"/>
      <c r="H62" s="307"/>
      <c r="I62" s="307"/>
      <c r="J62" s="310"/>
      <c r="K62" s="309">
        <v>2</v>
      </c>
      <c r="L62" s="307"/>
      <c r="M62" s="307"/>
      <c r="N62" s="307"/>
      <c r="O62" s="307"/>
      <c r="P62" s="307"/>
      <c r="Q62" s="307"/>
      <c r="R62" s="307"/>
      <c r="S62" s="307"/>
      <c r="T62" s="307"/>
      <c r="U62" s="307"/>
      <c r="V62" s="307"/>
      <c r="W62" s="307"/>
      <c r="X62" s="307"/>
      <c r="Y62" s="307"/>
      <c r="Z62" s="310"/>
      <c r="AA62" s="307"/>
      <c r="AB62" s="307"/>
      <c r="AC62" s="307"/>
      <c r="AD62" s="307"/>
      <c r="AE62" s="307"/>
      <c r="AF62" s="338"/>
    </row>
    <row r="63" spans="2:32" x14ac:dyDescent="0.2">
      <c r="B63" s="465">
        <v>160</v>
      </c>
      <c r="C63" s="466" t="s">
        <v>16</v>
      </c>
      <c r="D63" s="310">
        <v>4.5</v>
      </c>
      <c r="E63" s="309"/>
      <c r="F63" s="339">
        <f t="shared" si="2"/>
        <v>4.5</v>
      </c>
      <c r="G63" s="307"/>
      <c r="H63" s="307"/>
      <c r="I63" s="307"/>
      <c r="J63" s="310"/>
      <c r="K63" s="309"/>
      <c r="L63" s="307"/>
      <c r="M63" s="307"/>
      <c r="N63" s="307"/>
      <c r="O63" s="307"/>
      <c r="P63" s="307"/>
      <c r="Q63" s="307"/>
      <c r="R63" s="307">
        <v>1</v>
      </c>
      <c r="S63" s="307"/>
      <c r="T63" s="307"/>
      <c r="U63" s="307"/>
      <c r="V63" s="307"/>
      <c r="W63" s="307"/>
      <c r="X63" s="307"/>
      <c r="Y63" s="307"/>
      <c r="Z63" s="310"/>
      <c r="AA63" s="307"/>
      <c r="AB63" s="307"/>
      <c r="AC63" s="307"/>
      <c r="AD63" s="307"/>
      <c r="AE63" s="307"/>
      <c r="AF63" s="338"/>
    </row>
    <row r="64" spans="2:32" x14ac:dyDescent="0.2">
      <c r="B64" s="465">
        <v>161</v>
      </c>
      <c r="C64" s="466" t="s">
        <v>56</v>
      </c>
      <c r="D64" s="310">
        <v>7</v>
      </c>
      <c r="E64" s="309"/>
      <c r="F64" s="339">
        <f t="shared" si="2"/>
        <v>7</v>
      </c>
      <c r="G64" s="307"/>
      <c r="H64" s="307"/>
      <c r="I64" s="307"/>
      <c r="J64" s="310"/>
      <c r="K64" s="309"/>
      <c r="L64" s="307"/>
      <c r="M64" s="307"/>
      <c r="N64" s="307"/>
      <c r="O64" s="307"/>
      <c r="P64" s="307"/>
      <c r="Q64" s="307"/>
      <c r="R64" s="307">
        <v>2</v>
      </c>
      <c r="S64" s="307"/>
      <c r="T64" s="307"/>
      <c r="U64" s="307"/>
      <c r="V64" s="307"/>
      <c r="W64" s="307"/>
      <c r="X64" s="307"/>
      <c r="Y64" s="307"/>
      <c r="Z64" s="310"/>
      <c r="AA64" s="307"/>
      <c r="AB64" s="307"/>
      <c r="AC64" s="307"/>
      <c r="AD64" s="307"/>
      <c r="AE64" s="307"/>
      <c r="AF64" s="338"/>
    </row>
    <row r="65" spans="2:32" x14ac:dyDescent="0.2">
      <c r="B65" s="465">
        <v>163</v>
      </c>
      <c r="C65" s="466" t="s">
        <v>57</v>
      </c>
      <c r="D65" s="310">
        <v>4.4000000000000004</v>
      </c>
      <c r="E65" s="309"/>
      <c r="F65" s="339">
        <f>D65</f>
        <v>4.4000000000000004</v>
      </c>
      <c r="G65" s="307"/>
      <c r="H65" s="307"/>
      <c r="I65" s="307"/>
      <c r="J65" s="310"/>
      <c r="K65" s="309"/>
      <c r="L65" s="307"/>
      <c r="M65" s="307"/>
      <c r="N65" s="307"/>
      <c r="O65" s="307"/>
      <c r="P65" s="307"/>
      <c r="Q65" s="307"/>
      <c r="R65" s="307"/>
      <c r="S65" s="307"/>
      <c r="T65" s="307"/>
      <c r="U65" s="307"/>
      <c r="V65" s="307"/>
      <c r="W65" s="307"/>
      <c r="X65" s="307"/>
      <c r="Y65" s="307"/>
      <c r="Z65" s="310"/>
      <c r="AA65" s="307"/>
      <c r="AB65" s="307"/>
      <c r="AC65" s="307"/>
      <c r="AD65" s="307"/>
      <c r="AE65" s="307"/>
      <c r="AF65" s="338"/>
    </row>
    <row r="66" spans="2:32" x14ac:dyDescent="0.2">
      <c r="B66" s="465">
        <v>165</v>
      </c>
      <c r="C66" s="466" t="s">
        <v>58</v>
      </c>
      <c r="D66" s="310">
        <v>5.3</v>
      </c>
      <c r="E66" s="309"/>
      <c r="F66" s="339">
        <f>D66</f>
        <v>5.3</v>
      </c>
      <c r="G66" s="307"/>
      <c r="H66" s="307"/>
      <c r="I66" s="307"/>
      <c r="J66" s="310"/>
      <c r="K66" s="309"/>
      <c r="L66" s="307"/>
      <c r="M66" s="307"/>
      <c r="N66" s="307"/>
      <c r="O66" s="307"/>
      <c r="P66" s="307"/>
      <c r="Q66" s="307"/>
      <c r="R66" s="307">
        <v>1</v>
      </c>
      <c r="S66" s="307"/>
      <c r="T66" s="307"/>
      <c r="U66" s="307"/>
      <c r="V66" s="307"/>
      <c r="W66" s="307"/>
      <c r="X66" s="307"/>
      <c r="Y66" s="307"/>
      <c r="Z66" s="310"/>
      <c r="AA66" s="307"/>
      <c r="AB66" s="307"/>
      <c r="AC66" s="307"/>
      <c r="AD66" s="307"/>
      <c r="AE66" s="307"/>
      <c r="AF66" s="338"/>
    </row>
    <row r="67" spans="2:32" x14ac:dyDescent="0.2">
      <c r="B67" s="465">
        <v>166</v>
      </c>
      <c r="C67" s="466" t="s">
        <v>59</v>
      </c>
      <c r="D67" s="310">
        <v>4.4000000000000004</v>
      </c>
      <c r="E67" s="309"/>
      <c r="F67" s="339">
        <f t="shared" ref="F67:F70" si="3">D67</f>
        <v>4.4000000000000004</v>
      </c>
      <c r="G67" s="307"/>
      <c r="H67" s="307"/>
      <c r="I67" s="307"/>
      <c r="J67" s="310"/>
      <c r="K67" s="309"/>
      <c r="L67" s="307"/>
      <c r="M67" s="307"/>
      <c r="N67" s="307"/>
      <c r="O67" s="307"/>
      <c r="P67" s="307"/>
      <c r="Q67" s="307"/>
      <c r="R67" s="307">
        <v>1</v>
      </c>
      <c r="S67" s="307"/>
      <c r="T67" s="307"/>
      <c r="U67" s="307"/>
      <c r="V67" s="307"/>
      <c r="W67" s="307"/>
      <c r="X67" s="307"/>
      <c r="Y67" s="307"/>
      <c r="Z67" s="310"/>
      <c r="AA67" s="307"/>
      <c r="AB67" s="307"/>
      <c r="AC67" s="307"/>
      <c r="AD67" s="307"/>
      <c r="AE67" s="307"/>
      <c r="AF67" s="338"/>
    </row>
    <row r="68" spans="2:32" x14ac:dyDescent="0.2">
      <c r="B68" s="465">
        <v>167</v>
      </c>
      <c r="C68" s="466" t="s">
        <v>60</v>
      </c>
      <c r="D68" s="310">
        <v>3.2</v>
      </c>
      <c r="E68" s="309"/>
      <c r="F68" s="339">
        <f t="shared" si="3"/>
        <v>3.2</v>
      </c>
      <c r="G68" s="307"/>
      <c r="H68" s="307"/>
      <c r="I68" s="307"/>
      <c r="J68" s="310"/>
      <c r="K68" s="309"/>
      <c r="L68" s="307"/>
      <c r="M68" s="307"/>
      <c r="N68" s="307"/>
      <c r="O68" s="307"/>
      <c r="P68" s="307"/>
      <c r="Q68" s="307"/>
      <c r="R68" s="307">
        <v>1</v>
      </c>
      <c r="S68" s="307"/>
      <c r="T68" s="307"/>
      <c r="U68" s="307"/>
      <c r="V68" s="307"/>
      <c r="W68" s="307"/>
      <c r="X68" s="307"/>
      <c r="Y68" s="307"/>
      <c r="Z68" s="310"/>
      <c r="AA68" s="307"/>
      <c r="AB68" s="307"/>
      <c r="AC68" s="307"/>
      <c r="AD68" s="307"/>
      <c r="AE68" s="307"/>
      <c r="AF68" s="338"/>
    </row>
    <row r="69" spans="2:32" x14ac:dyDescent="0.2">
      <c r="B69" s="465">
        <v>168</v>
      </c>
      <c r="C69" s="466" t="s">
        <v>61</v>
      </c>
      <c r="D69" s="310">
        <v>5.0999999999999996</v>
      </c>
      <c r="E69" s="309"/>
      <c r="F69" s="339">
        <f t="shared" si="3"/>
        <v>5.0999999999999996</v>
      </c>
      <c r="G69" s="307"/>
      <c r="H69" s="307"/>
      <c r="I69" s="307"/>
      <c r="J69" s="310"/>
      <c r="K69" s="309"/>
      <c r="L69" s="307"/>
      <c r="M69" s="307"/>
      <c r="N69" s="307"/>
      <c r="O69" s="307"/>
      <c r="P69" s="307"/>
      <c r="Q69" s="307"/>
      <c r="R69" s="307">
        <v>1</v>
      </c>
      <c r="S69" s="307"/>
      <c r="T69" s="307"/>
      <c r="U69" s="307"/>
      <c r="V69" s="307"/>
      <c r="W69" s="307"/>
      <c r="X69" s="307"/>
      <c r="Y69" s="307"/>
      <c r="Z69" s="310"/>
      <c r="AA69" s="307"/>
      <c r="AB69" s="307"/>
      <c r="AC69" s="307"/>
      <c r="AD69" s="307"/>
      <c r="AE69" s="307"/>
      <c r="AF69" s="338"/>
    </row>
    <row r="70" spans="2:32" x14ac:dyDescent="0.2">
      <c r="B70" s="465">
        <v>169</v>
      </c>
      <c r="C70" s="466" t="s">
        <v>60</v>
      </c>
      <c r="D70" s="310">
        <v>26.7</v>
      </c>
      <c r="E70" s="436"/>
      <c r="F70" s="339">
        <f t="shared" si="3"/>
        <v>26.7</v>
      </c>
      <c r="G70" s="307"/>
      <c r="H70" s="307"/>
      <c r="I70" s="437"/>
      <c r="J70" s="438"/>
      <c r="K70" s="436"/>
      <c r="L70" s="437"/>
      <c r="M70" s="437"/>
      <c r="N70" s="437"/>
      <c r="O70" s="437"/>
      <c r="P70" s="437"/>
      <c r="Q70" s="437"/>
      <c r="R70" s="437">
        <v>6</v>
      </c>
      <c r="S70" s="437"/>
      <c r="T70" s="437"/>
      <c r="U70" s="437"/>
      <c r="V70" s="437"/>
      <c r="W70" s="437"/>
      <c r="X70" s="437"/>
      <c r="Y70" s="437"/>
      <c r="Z70" s="438"/>
      <c r="AA70" s="437"/>
      <c r="AB70" s="437"/>
      <c r="AC70" s="437"/>
      <c r="AD70" s="437"/>
      <c r="AE70" s="437"/>
      <c r="AF70" s="439"/>
    </row>
    <row r="71" spans="2:32" x14ac:dyDescent="0.2">
      <c r="B71" s="465">
        <v>170</v>
      </c>
      <c r="C71" s="466" t="s">
        <v>12</v>
      </c>
      <c r="D71" s="310">
        <v>9.4</v>
      </c>
      <c r="E71" s="436">
        <f>D71</f>
        <v>9.4</v>
      </c>
      <c r="F71" s="440"/>
      <c r="G71" s="307"/>
      <c r="H71" s="307"/>
      <c r="I71" s="437"/>
      <c r="J71" s="438"/>
      <c r="K71" s="436"/>
      <c r="L71" s="437"/>
      <c r="M71" s="437"/>
      <c r="N71" s="437"/>
      <c r="O71" s="437"/>
      <c r="P71" s="437"/>
      <c r="Q71" s="606">
        <v>2</v>
      </c>
      <c r="R71" s="437"/>
      <c r="S71" s="437"/>
      <c r="T71" s="437"/>
      <c r="U71" s="437"/>
      <c r="V71" s="437"/>
      <c r="W71" s="437"/>
      <c r="X71" s="437"/>
      <c r="Y71" s="437"/>
      <c r="Z71" s="438"/>
      <c r="AA71" s="437"/>
      <c r="AB71" s="437"/>
      <c r="AC71" s="437"/>
      <c r="AD71" s="437"/>
      <c r="AE71" s="437"/>
      <c r="AF71" s="439"/>
    </row>
    <row r="72" spans="2:32" x14ac:dyDescent="0.2">
      <c r="B72" s="465">
        <v>171</v>
      </c>
      <c r="C72" s="466" t="s">
        <v>12</v>
      </c>
      <c r="D72" s="310">
        <v>9.5</v>
      </c>
      <c r="E72" s="436">
        <f>D72</f>
        <v>9.5</v>
      </c>
      <c r="F72" s="440"/>
      <c r="G72" s="437"/>
      <c r="H72" s="437"/>
      <c r="I72" s="437"/>
      <c r="J72" s="438"/>
      <c r="K72" s="436"/>
      <c r="L72" s="437"/>
      <c r="M72" s="437"/>
      <c r="N72" s="437"/>
      <c r="O72" s="437"/>
      <c r="P72" s="606">
        <v>1</v>
      </c>
      <c r="Q72" s="437"/>
      <c r="R72" s="437"/>
      <c r="S72" s="437"/>
      <c r="T72" s="437"/>
      <c r="U72" s="437"/>
      <c r="V72" s="437"/>
      <c r="W72" s="437"/>
      <c r="X72" s="437"/>
      <c r="Y72" s="437"/>
      <c r="Z72" s="438"/>
      <c r="AA72" s="437"/>
      <c r="AB72" s="437"/>
      <c r="AC72" s="437"/>
      <c r="AD72" s="437"/>
      <c r="AE72" s="437"/>
      <c r="AF72" s="439"/>
    </row>
    <row r="73" spans="2:32" x14ac:dyDescent="0.2">
      <c r="B73" s="465">
        <v>172</v>
      </c>
      <c r="C73" s="466" t="s">
        <v>62</v>
      </c>
      <c r="D73" s="310">
        <v>176.6</v>
      </c>
      <c r="E73" s="436">
        <f>D73</f>
        <v>176.6</v>
      </c>
      <c r="F73" s="440"/>
      <c r="G73" s="437"/>
      <c r="H73" s="437"/>
      <c r="I73" s="437"/>
      <c r="J73" s="438"/>
      <c r="K73" s="436"/>
      <c r="L73" s="437"/>
      <c r="M73" s="437"/>
      <c r="N73" s="437"/>
      <c r="O73" s="437"/>
      <c r="P73" s="437"/>
      <c r="Q73" s="437"/>
      <c r="R73" s="437"/>
      <c r="S73" s="606">
        <v>27</v>
      </c>
      <c r="T73" s="437"/>
      <c r="U73" s="437"/>
      <c r="V73" s="437"/>
      <c r="W73" s="437"/>
      <c r="X73" s="437"/>
      <c r="Y73" s="437"/>
      <c r="Z73" s="438"/>
      <c r="AA73" s="437"/>
      <c r="AB73" s="437"/>
      <c r="AC73" s="437"/>
      <c r="AD73" s="437"/>
      <c r="AE73" s="437"/>
      <c r="AF73" s="439"/>
    </row>
    <row r="74" spans="2:32" ht="13.5" thickBot="1" x14ac:dyDescent="0.25">
      <c r="B74" s="470">
        <v>173</v>
      </c>
      <c r="C74" s="471" t="s">
        <v>63</v>
      </c>
      <c r="D74" s="340">
        <v>2.2000000000000002</v>
      </c>
      <c r="E74" s="441"/>
      <c r="F74" s="442"/>
      <c r="G74" s="412"/>
      <c r="H74" s="412"/>
      <c r="I74" s="412"/>
      <c r="J74" s="443"/>
      <c r="K74" s="441"/>
      <c r="L74" s="412"/>
      <c r="M74" s="412"/>
      <c r="N74" s="412"/>
      <c r="O74" s="412"/>
      <c r="P74" s="412"/>
      <c r="Q74" s="412"/>
      <c r="R74" s="412"/>
      <c r="S74" s="412"/>
      <c r="T74" s="412"/>
      <c r="U74" s="412"/>
      <c r="V74" s="412"/>
      <c r="W74" s="412"/>
      <c r="X74" s="412"/>
      <c r="Y74" s="412"/>
      <c r="Z74" s="443"/>
      <c r="AA74" s="412"/>
      <c r="AB74" s="412"/>
      <c r="AC74" s="412"/>
      <c r="AD74" s="412"/>
      <c r="AE74" s="412"/>
      <c r="AF74" s="341"/>
    </row>
    <row r="75" spans="2:32" x14ac:dyDescent="0.2">
      <c r="B75" s="472"/>
      <c r="C75" s="473" t="s">
        <v>1</v>
      </c>
      <c r="D75" s="474">
        <f t="shared" ref="D75" si="4">SUM(D4:D74)</f>
        <v>1786.3999999999999</v>
      </c>
      <c r="E75" s="444">
        <f>SUM(E71:E74)</f>
        <v>195.5</v>
      </c>
      <c r="F75" s="445">
        <f>SUM(F4:F74)</f>
        <v>130.80000000000001</v>
      </c>
      <c r="G75" s="446">
        <f t="shared" ref="G75:T75" si="5">SUM(G4:G74)</f>
        <v>73.8</v>
      </c>
      <c r="H75" s="446">
        <f>SUM(H4:H74)</f>
        <v>268.90000000000003</v>
      </c>
      <c r="I75" s="446">
        <f t="shared" si="5"/>
        <v>109.8</v>
      </c>
      <c r="J75" s="447">
        <f t="shared" si="5"/>
        <v>150</v>
      </c>
      <c r="K75" s="605">
        <f t="shared" ref="K75:Q75" si="6">SUM(K4:K74)</f>
        <v>130</v>
      </c>
      <c r="L75" s="446">
        <f t="shared" si="6"/>
        <v>10</v>
      </c>
      <c r="M75" s="446">
        <f t="shared" si="6"/>
        <v>120</v>
      </c>
      <c r="N75" s="446">
        <f t="shared" si="6"/>
        <v>29</v>
      </c>
      <c r="O75" s="608">
        <f t="shared" si="6"/>
        <v>24</v>
      </c>
      <c r="P75" s="608">
        <f>SUM(P37:P74)</f>
        <v>1</v>
      </c>
      <c r="Q75" s="608">
        <f t="shared" si="6"/>
        <v>6</v>
      </c>
      <c r="R75" s="446">
        <f t="shared" si="5"/>
        <v>24</v>
      </c>
      <c r="S75" s="608">
        <f t="shared" si="5"/>
        <v>27</v>
      </c>
      <c r="T75" s="446">
        <f t="shared" si="5"/>
        <v>6</v>
      </c>
      <c r="U75" s="446">
        <f>SUM(U4:U74)</f>
        <v>12</v>
      </c>
      <c r="V75" s="446">
        <f>SUM(V4:V74)</f>
        <v>5</v>
      </c>
      <c r="W75" s="446">
        <f>SUM(W4:W74)</f>
        <v>11</v>
      </c>
      <c r="X75" s="446">
        <f>SUM(X4:X74)</f>
        <v>2</v>
      </c>
      <c r="Y75" s="446"/>
      <c r="Z75" s="447"/>
      <c r="AA75" s="446"/>
      <c r="AB75" s="446"/>
      <c r="AC75" s="446"/>
      <c r="AD75" s="446"/>
      <c r="AE75" s="446"/>
      <c r="AF75" s="448"/>
    </row>
    <row r="76" spans="2:32" s="423" customFormat="1" ht="13.5" thickBot="1" x14ac:dyDescent="0.25">
      <c r="B76" s="475"/>
      <c r="C76" s="476" t="s">
        <v>96</v>
      </c>
      <c r="D76" s="477">
        <f>D75+gridas_2st!D51+'gridas_3 st'!D6</f>
        <v>3484.4999999999995</v>
      </c>
      <c r="E76" s="449">
        <f>E75+griesti_lampas_2st!E51+griesti_lampas_3st!E6</f>
        <v>371.9</v>
      </c>
      <c r="F76" s="450">
        <f>F75</f>
        <v>130.80000000000001</v>
      </c>
      <c r="G76" s="451">
        <f>G75+griesti_lampas_2st!F51</f>
        <v>152</v>
      </c>
      <c r="H76" s="451">
        <f>H75+griesti_lampas_2st!G51</f>
        <v>489.8</v>
      </c>
      <c r="I76" s="451">
        <f>I75+griesti_lampas_2st!H51</f>
        <v>215.6</v>
      </c>
      <c r="J76" s="452">
        <f>J75</f>
        <v>150</v>
      </c>
      <c r="K76" s="604">
        <f>K75+griesti_lampas_2st!M51</f>
        <v>249</v>
      </c>
      <c r="L76" s="451">
        <f>L75+griesti_lampas_2st!N51</f>
        <v>54</v>
      </c>
      <c r="M76" s="451">
        <f>M75+griesti_lampas_2st!P51</f>
        <v>248</v>
      </c>
      <c r="N76" s="451">
        <f>N75+griesti_lampas_2st!Q51</f>
        <v>57</v>
      </c>
      <c r="O76" s="609">
        <f>O75+griesti_lampas_2st!R51+griesti_lampas_3st!F6</f>
        <v>36</v>
      </c>
      <c r="P76" s="609">
        <f>P75+griesti_lampas_2st!S51+griesti_lampas_3st!G6</f>
        <v>5</v>
      </c>
      <c r="Q76" s="609">
        <f>Q75+griesti_lampas_2st!T51</f>
        <v>7</v>
      </c>
      <c r="R76" s="451">
        <f>R75+griesti_lampas_2st!U51</f>
        <v>26</v>
      </c>
      <c r="S76" s="609">
        <f>S75</f>
        <v>27</v>
      </c>
      <c r="T76" s="451">
        <f>T75+griesti_lampas_2st!W51</f>
        <v>12</v>
      </c>
      <c r="U76" s="451">
        <f>U75</f>
        <v>12</v>
      </c>
      <c r="V76" s="451">
        <f>V75</f>
        <v>5</v>
      </c>
      <c r="W76" s="451">
        <f>W75</f>
        <v>11</v>
      </c>
      <c r="X76" s="451">
        <f>X75</f>
        <v>2</v>
      </c>
      <c r="Y76" s="451"/>
      <c r="Z76" s="452"/>
      <c r="AA76" s="451"/>
      <c r="AB76" s="451"/>
      <c r="AC76" s="451"/>
      <c r="AD76" s="451"/>
      <c r="AE76" s="451"/>
      <c r="AF76" s="453"/>
    </row>
    <row r="77" spans="2:32" s="423" customFormat="1" ht="16.5" customHeight="1" thickBot="1" x14ac:dyDescent="0.25">
      <c r="B77" s="478"/>
      <c r="C77" s="479" t="s">
        <v>114</v>
      </c>
      <c r="E77" s="454"/>
      <c r="F77" s="455"/>
      <c r="G77" s="455"/>
      <c r="H77" s="455"/>
      <c r="I77" s="455"/>
      <c r="J77" s="455"/>
      <c r="K77" s="455"/>
      <c r="L77" s="455"/>
      <c r="M77" s="455"/>
      <c r="N77" s="455"/>
      <c r="O77" s="455"/>
      <c r="P77" s="455"/>
      <c r="Q77" s="455"/>
      <c r="R77" s="455"/>
      <c r="S77" s="455"/>
      <c r="T77" s="455"/>
      <c r="U77" s="455"/>
      <c r="V77" s="456"/>
      <c r="W77" s="455"/>
      <c r="X77" s="455"/>
      <c r="Y77" s="456">
        <v>6</v>
      </c>
      <c r="Z77" s="456">
        <v>13</v>
      </c>
      <c r="AA77" s="456">
        <v>43</v>
      </c>
      <c r="AB77" s="456">
        <v>13</v>
      </c>
      <c r="AC77" s="456">
        <v>20</v>
      </c>
      <c r="AD77" s="456">
        <v>24</v>
      </c>
      <c r="AE77" s="456">
        <v>6</v>
      </c>
      <c r="AF77" s="457">
        <v>10</v>
      </c>
    </row>
    <row r="78" spans="2:32" s="423" customFormat="1" ht="9.75" customHeight="1" x14ac:dyDescent="0.2">
      <c r="B78" s="478"/>
      <c r="C78" s="479"/>
      <c r="V78" s="478"/>
    </row>
    <row r="79" spans="2:32" ht="13.5" x14ac:dyDescent="0.25">
      <c r="B79" s="480" t="s">
        <v>157</v>
      </c>
      <c r="C79" s="481"/>
      <c r="D79" s="482"/>
      <c r="E79" s="483"/>
      <c r="F79" s="389"/>
      <c r="H79" s="480" t="s">
        <v>159</v>
      </c>
      <c r="I79" s="480"/>
      <c r="S79" s="390"/>
      <c r="V79" s="390"/>
    </row>
    <row r="80" spans="2:32" ht="13.5" x14ac:dyDescent="0.25">
      <c r="B80" s="480" t="s">
        <v>158</v>
      </c>
      <c r="C80" s="481"/>
      <c r="D80" s="482"/>
      <c r="E80" s="483"/>
      <c r="F80" s="389"/>
      <c r="H80" s="480"/>
      <c r="I80" s="480" t="s">
        <v>103</v>
      </c>
      <c r="V80" s="390"/>
    </row>
    <row r="81" spans="2:9" x14ac:dyDescent="0.2">
      <c r="B81" s="484"/>
      <c r="C81" s="480" t="s">
        <v>98</v>
      </c>
      <c r="D81" s="482"/>
      <c r="E81" s="483"/>
      <c r="F81" s="389"/>
      <c r="H81" s="480"/>
      <c r="I81" s="480" t="s">
        <v>102</v>
      </c>
    </row>
    <row r="82" spans="2:9" x14ac:dyDescent="0.2">
      <c r="B82" s="389"/>
      <c r="D82" s="482"/>
      <c r="E82" s="483"/>
      <c r="F82" s="389"/>
      <c r="H82" s="480"/>
      <c r="I82" s="480" t="s">
        <v>115</v>
      </c>
    </row>
    <row r="83" spans="2:9" x14ac:dyDescent="0.2">
      <c r="B83" s="389"/>
      <c r="D83" s="482"/>
      <c r="E83" s="483"/>
      <c r="F83" s="389"/>
    </row>
    <row r="84" spans="2:9" x14ac:dyDescent="0.2">
      <c r="B84" s="389"/>
      <c r="D84" s="482"/>
      <c r="E84" s="483"/>
      <c r="F84" s="389"/>
    </row>
    <row r="85" spans="2:9" x14ac:dyDescent="0.2">
      <c r="B85" s="389"/>
      <c r="E85" s="389"/>
      <c r="F85" s="389"/>
    </row>
  </sheetData>
  <mergeCells count="2">
    <mergeCell ref="E2:J2"/>
    <mergeCell ref="K2:AF2"/>
  </mergeCells>
  <pageMargins left="0.17" right="0.7" top="0.17" bottom="0.17" header="0.17" footer="0.17"/>
  <pageSetup paperSize="8" scale="64" orientation="landscape" horizontalDpi="4294967293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Z61"/>
  <sheetViews>
    <sheetView tabSelected="1" zoomScaleNormal="100" workbookViewId="0">
      <pane ySplit="3" topLeftCell="A25" activePane="bottomLeft" state="frozen"/>
      <selection pane="bottomLeft" activeCell="S55" sqref="S55"/>
    </sheetView>
  </sheetViews>
  <sheetFormatPr defaultRowHeight="15" x14ac:dyDescent="0.25"/>
  <cols>
    <col min="1" max="1" width="2" style="322" customWidth="1"/>
    <col min="2" max="2" width="5.7109375" style="366" customWidth="1"/>
    <col min="3" max="3" width="19.5703125" style="322" customWidth="1"/>
    <col min="4" max="4" width="11.85546875" style="366" customWidth="1"/>
    <col min="5" max="5" width="7.42578125" style="366" bestFit="1" customWidth="1"/>
    <col min="6" max="6" width="7.42578125" style="366" customWidth="1"/>
    <col min="7" max="7" width="9.140625" style="366" bestFit="1" customWidth="1"/>
    <col min="8" max="8" width="6.7109375" style="366" bestFit="1" customWidth="1"/>
    <col min="9" max="9" width="9.140625" style="366" bestFit="1" customWidth="1"/>
    <col min="10" max="10" width="7.7109375" style="366" bestFit="1" customWidth="1"/>
    <col min="11" max="11" width="6" style="366" bestFit="1" customWidth="1"/>
    <col min="12" max="12" width="5.42578125" style="366" bestFit="1" customWidth="1"/>
    <col min="13" max="16" width="8.5703125" style="322" bestFit="1" customWidth="1"/>
    <col min="17" max="17" width="7" style="322" bestFit="1" customWidth="1"/>
    <col min="18" max="18" width="9" style="322" customWidth="1"/>
    <col min="19" max="19" width="8.5703125" style="322" bestFit="1" customWidth="1"/>
    <col min="20" max="20" width="7.140625" style="322" customWidth="1"/>
    <col min="21" max="21" width="9.140625" style="322"/>
    <col min="22" max="22" width="6.7109375" style="322" customWidth="1"/>
    <col min="23" max="23" width="8.85546875" style="322" customWidth="1"/>
    <col min="24" max="24" width="12" style="322" customWidth="1"/>
    <col min="25" max="25" width="9" style="322" customWidth="1"/>
    <col min="26" max="26" width="8.85546875" style="322" customWidth="1"/>
    <col min="27" max="16384" width="9.140625" style="322"/>
  </cols>
  <sheetData>
    <row r="1" spans="2:26" ht="15.75" thickBot="1" x14ac:dyDescent="0.3">
      <c r="M1" s="485">
        <v>1</v>
      </c>
      <c r="N1" s="485">
        <v>2</v>
      </c>
      <c r="O1" s="485" t="s">
        <v>111</v>
      </c>
      <c r="P1" s="485">
        <v>3</v>
      </c>
      <c r="Q1" s="485">
        <v>4</v>
      </c>
      <c r="R1" s="485">
        <v>5</v>
      </c>
      <c r="S1" s="485">
        <v>6</v>
      </c>
      <c r="T1" s="485">
        <v>7</v>
      </c>
      <c r="U1" s="485" t="s">
        <v>112</v>
      </c>
      <c r="V1" s="485">
        <v>9</v>
      </c>
      <c r="W1" s="485">
        <v>10</v>
      </c>
      <c r="X1" s="485">
        <v>11</v>
      </c>
      <c r="Y1" s="485">
        <v>13</v>
      </c>
      <c r="Z1" s="485">
        <v>20</v>
      </c>
    </row>
    <row r="2" spans="2:26" ht="18" thickBot="1" x14ac:dyDescent="0.3">
      <c r="E2" s="624" t="s">
        <v>182</v>
      </c>
      <c r="F2" s="625"/>
      <c r="G2" s="625"/>
      <c r="H2" s="625"/>
      <c r="I2" s="625"/>
      <c r="J2" s="625"/>
      <c r="K2" s="625"/>
      <c r="L2" s="626"/>
      <c r="M2" s="624" t="s">
        <v>116</v>
      </c>
      <c r="N2" s="625"/>
      <c r="O2" s="625"/>
      <c r="P2" s="625"/>
      <c r="Q2" s="625"/>
      <c r="R2" s="625"/>
      <c r="S2" s="625"/>
      <c r="T2" s="625"/>
      <c r="U2" s="625"/>
      <c r="V2" s="625"/>
      <c r="W2" s="625"/>
      <c r="X2" s="625"/>
      <c r="Y2" s="625"/>
      <c r="Z2" s="626"/>
    </row>
    <row r="3" spans="2:26" ht="214.5" customHeight="1" thickBot="1" x14ac:dyDescent="0.3">
      <c r="B3" s="486" t="s">
        <v>5</v>
      </c>
      <c r="C3" s="487" t="s">
        <v>3</v>
      </c>
      <c r="D3" s="488" t="s">
        <v>138</v>
      </c>
      <c r="E3" s="489" t="s">
        <v>183</v>
      </c>
      <c r="F3" s="490" t="s">
        <v>328</v>
      </c>
      <c r="G3" s="490" t="s">
        <v>329</v>
      </c>
      <c r="H3" s="490" t="s">
        <v>330</v>
      </c>
      <c r="I3" s="491" t="s">
        <v>331</v>
      </c>
      <c r="J3" s="492" t="s">
        <v>332</v>
      </c>
      <c r="K3" s="492" t="s">
        <v>333</v>
      </c>
      <c r="L3" s="493" t="s">
        <v>334</v>
      </c>
      <c r="M3" s="489" t="s">
        <v>335</v>
      </c>
      <c r="N3" s="598" t="s">
        <v>367</v>
      </c>
      <c r="O3" s="494" t="s">
        <v>336</v>
      </c>
      <c r="P3" s="494" t="s">
        <v>337</v>
      </c>
      <c r="Q3" s="494" t="s">
        <v>338</v>
      </c>
      <c r="R3" s="494" t="s">
        <v>184</v>
      </c>
      <c r="S3" s="598" t="s">
        <v>185</v>
      </c>
      <c r="T3" s="494" t="s">
        <v>339</v>
      </c>
      <c r="U3" s="494" t="s">
        <v>340</v>
      </c>
      <c r="V3" s="494" t="s">
        <v>341</v>
      </c>
      <c r="W3" s="599" t="s">
        <v>342</v>
      </c>
      <c r="X3" s="492" t="s">
        <v>343</v>
      </c>
      <c r="Y3" s="492" t="s">
        <v>344</v>
      </c>
      <c r="Z3" s="190" t="s">
        <v>345</v>
      </c>
    </row>
    <row r="4" spans="2:26" x14ac:dyDescent="0.25">
      <c r="B4" s="252">
        <v>201</v>
      </c>
      <c r="C4" s="495" t="s">
        <v>16</v>
      </c>
      <c r="D4" s="117">
        <v>73.5</v>
      </c>
      <c r="E4" s="496"/>
      <c r="F4" s="497">
        <v>25</v>
      </c>
      <c r="G4" s="251"/>
      <c r="H4" s="497"/>
      <c r="I4" s="115"/>
      <c r="J4" s="115">
        <v>32</v>
      </c>
      <c r="K4" s="115">
        <v>55</v>
      </c>
      <c r="L4" s="117"/>
      <c r="M4" s="252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>
        <v>13</v>
      </c>
      <c r="Y4" s="115"/>
      <c r="Z4" s="498"/>
    </row>
    <row r="5" spans="2:26" x14ac:dyDescent="0.25">
      <c r="B5" s="125">
        <v>202</v>
      </c>
      <c r="C5" s="126" t="s">
        <v>64</v>
      </c>
      <c r="D5" s="124">
        <v>45.2</v>
      </c>
      <c r="E5" s="499"/>
      <c r="F5" s="500"/>
      <c r="G5" s="501"/>
      <c r="H5" s="500"/>
      <c r="I5" s="502">
        <f>D5</f>
        <v>45.2</v>
      </c>
      <c r="J5" s="502"/>
      <c r="K5" s="502"/>
      <c r="L5" s="498"/>
      <c r="M5" s="503"/>
      <c r="N5" s="501"/>
      <c r="O5" s="501">
        <v>12</v>
      </c>
      <c r="P5" s="501"/>
      <c r="Q5" s="501"/>
      <c r="R5" s="501"/>
      <c r="S5" s="501"/>
      <c r="T5" s="501"/>
      <c r="U5" s="501"/>
      <c r="V5" s="501"/>
      <c r="W5" s="501"/>
      <c r="X5" s="501"/>
      <c r="Y5" s="502"/>
      <c r="Z5" s="124"/>
    </row>
    <row r="6" spans="2:26" x14ac:dyDescent="0.25">
      <c r="B6" s="125">
        <v>203</v>
      </c>
      <c r="C6" s="126" t="s">
        <v>64</v>
      </c>
      <c r="D6" s="124">
        <v>45.2</v>
      </c>
      <c r="E6" s="499"/>
      <c r="F6" s="500"/>
      <c r="G6" s="501"/>
      <c r="H6" s="500"/>
      <c r="I6" s="502">
        <f>D6</f>
        <v>45.2</v>
      </c>
      <c r="J6" s="502"/>
      <c r="K6" s="502"/>
      <c r="L6" s="498"/>
      <c r="M6" s="503"/>
      <c r="N6" s="501"/>
      <c r="O6" s="501">
        <v>12</v>
      </c>
      <c r="P6" s="501"/>
      <c r="Q6" s="501"/>
      <c r="R6" s="501"/>
      <c r="S6" s="501"/>
      <c r="T6" s="501"/>
      <c r="U6" s="501"/>
      <c r="V6" s="501"/>
      <c r="W6" s="501"/>
      <c r="X6" s="501"/>
      <c r="Y6" s="502"/>
      <c r="Z6" s="124"/>
    </row>
    <row r="7" spans="2:26" x14ac:dyDescent="0.25">
      <c r="B7" s="125">
        <v>204</v>
      </c>
      <c r="C7" s="126" t="s">
        <v>16</v>
      </c>
      <c r="D7" s="124">
        <v>37.299999999999997</v>
      </c>
      <c r="E7" s="499"/>
      <c r="F7" s="500"/>
      <c r="G7" s="501">
        <f>D7</f>
        <v>37.299999999999997</v>
      </c>
      <c r="H7" s="500"/>
      <c r="I7" s="502"/>
      <c r="J7" s="502"/>
      <c r="K7" s="502"/>
      <c r="L7" s="498"/>
      <c r="M7" s="503"/>
      <c r="N7" s="501"/>
      <c r="O7" s="501"/>
      <c r="P7" s="501"/>
      <c r="Q7" s="501">
        <v>10</v>
      </c>
      <c r="R7" s="501"/>
      <c r="S7" s="501"/>
      <c r="T7" s="501"/>
      <c r="U7" s="501"/>
      <c r="V7" s="501"/>
      <c r="W7" s="501"/>
      <c r="X7" s="501"/>
      <c r="Y7" s="502"/>
      <c r="Z7" s="124"/>
    </row>
    <row r="8" spans="2:26" x14ac:dyDescent="0.25">
      <c r="B8" s="125">
        <v>205</v>
      </c>
      <c r="C8" s="126" t="s">
        <v>65</v>
      </c>
      <c r="D8" s="124">
        <v>18.7</v>
      </c>
      <c r="E8" s="499">
        <f>D8</f>
        <v>18.7</v>
      </c>
      <c r="F8" s="500"/>
      <c r="G8" s="501"/>
      <c r="H8" s="500"/>
      <c r="I8" s="502"/>
      <c r="J8" s="502"/>
      <c r="K8" s="502"/>
      <c r="L8" s="498"/>
      <c r="M8" s="503"/>
      <c r="N8" s="501"/>
      <c r="O8" s="501"/>
      <c r="P8" s="501"/>
      <c r="Q8" s="501"/>
      <c r="R8" s="501"/>
      <c r="S8" s="501">
        <v>1</v>
      </c>
      <c r="T8" s="501"/>
      <c r="U8" s="501"/>
      <c r="V8" s="501"/>
      <c r="W8" s="501"/>
      <c r="X8" s="501"/>
      <c r="Y8" s="502"/>
      <c r="Z8" s="124"/>
    </row>
    <row r="9" spans="2:26" x14ac:dyDescent="0.25">
      <c r="B9" s="125">
        <v>206</v>
      </c>
      <c r="C9" s="126" t="s">
        <v>17</v>
      </c>
      <c r="D9" s="124">
        <v>4.9000000000000004</v>
      </c>
      <c r="E9" s="499">
        <f>D9</f>
        <v>4.9000000000000004</v>
      </c>
      <c r="F9" s="500"/>
      <c r="G9" s="501"/>
      <c r="H9" s="500"/>
      <c r="I9" s="502"/>
      <c r="J9" s="502"/>
      <c r="K9" s="502"/>
      <c r="L9" s="498"/>
      <c r="M9" s="503">
        <v>2</v>
      </c>
      <c r="N9" s="501"/>
      <c r="O9" s="501"/>
      <c r="P9" s="501"/>
      <c r="Q9" s="501"/>
      <c r="R9" s="501"/>
      <c r="S9" s="501"/>
      <c r="T9" s="501"/>
      <c r="U9" s="501"/>
      <c r="V9" s="501"/>
      <c r="W9" s="501"/>
      <c r="X9" s="501"/>
      <c r="Y9" s="502"/>
      <c r="Z9" s="124"/>
    </row>
    <row r="10" spans="2:26" x14ac:dyDescent="0.25">
      <c r="B10" s="125">
        <v>207</v>
      </c>
      <c r="C10" s="126" t="s">
        <v>66</v>
      </c>
      <c r="D10" s="124">
        <v>22.3</v>
      </c>
      <c r="E10" s="499">
        <f>D10</f>
        <v>22.3</v>
      </c>
      <c r="F10" s="500"/>
      <c r="G10" s="501"/>
      <c r="H10" s="500"/>
      <c r="I10" s="502"/>
      <c r="J10" s="502"/>
      <c r="K10" s="502"/>
      <c r="L10" s="498"/>
      <c r="M10" s="503"/>
      <c r="N10" s="501">
        <v>7</v>
      </c>
      <c r="O10" s="501"/>
      <c r="P10" s="501"/>
      <c r="Q10" s="501"/>
      <c r="R10" s="501"/>
      <c r="S10" s="501"/>
      <c r="T10" s="501"/>
      <c r="U10" s="501"/>
      <c r="V10" s="501"/>
      <c r="W10" s="501"/>
      <c r="X10" s="501"/>
      <c r="Y10" s="502"/>
      <c r="Z10" s="124"/>
    </row>
    <row r="11" spans="2:26" x14ac:dyDescent="0.25">
      <c r="B11" s="125">
        <v>208</v>
      </c>
      <c r="C11" s="126" t="s">
        <v>67</v>
      </c>
      <c r="D11" s="124">
        <v>37.6</v>
      </c>
      <c r="E11" s="499">
        <f>D11</f>
        <v>37.6</v>
      </c>
      <c r="F11" s="500"/>
      <c r="G11" s="501"/>
      <c r="H11" s="500"/>
      <c r="I11" s="502"/>
      <c r="J11" s="502"/>
      <c r="K11" s="502"/>
      <c r="L11" s="498"/>
      <c r="M11" s="503"/>
      <c r="N11" s="501">
        <v>12</v>
      </c>
      <c r="O11" s="501"/>
      <c r="P11" s="501"/>
      <c r="Q11" s="501"/>
      <c r="R11" s="501"/>
      <c r="S11" s="501"/>
      <c r="T11" s="501"/>
      <c r="U11" s="501"/>
      <c r="V11" s="501"/>
      <c r="W11" s="501"/>
      <c r="X11" s="501"/>
      <c r="Y11" s="502"/>
      <c r="Z11" s="124"/>
    </row>
    <row r="12" spans="2:26" x14ac:dyDescent="0.25">
      <c r="B12" s="125">
        <v>209</v>
      </c>
      <c r="C12" s="126" t="s">
        <v>22</v>
      </c>
      <c r="D12" s="124">
        <v>12.7</v>
      </c>
      <c r="E12" s="499"/>
      <c r="F12" s="500"/>
      <c r="G12" s="501">
        <f>D12</f>
        <v>12.7</v>
      </c>
      <c r="H12" s="500"/>
      <c r="I12" s="502"/>
      <c r="J12" s="502"/>
      <c r="K12" s="502"/>
      <c r="L12" s="498"/>
      <c r="M12" s="503">
        <v>4</v>
      </c>
      <c r="N12" s="501"/>
      <c r="O12" s="501"/>
      <c r="P12" s="501"/>
      <c r="Q12" s="501"/>
      <c r="R12" s="501"/>
      <c r="S12" s="501"/>
      <c r="T12" s="501"/>
      <c r="U12" s="501"/>
      <c r="V12" s="501"/>
      <c r="W12" s="501"/>
      <c r="X12" s="501"/>
      <c r="Y12" s="502"/>
      <c r="Z12" s="124"/>
    </row>
    <row r="13" spans="2:26" x14ac:dyDescent="0.25">
      <c r="B13" s="125">
        <v>210</v>
      </c>
      <c r="C13" s="126" t="s">
        <v>23</v>
      </c>
      <c r="D13" s="124">
        <v>2.7</v>
      </c>
      <c r="E13" s="499"/>
      <c r="F13" s="500"/>
      <c r="G13" s="501"/>
      <c r="H13" s="500">
        <f>D13</f>
        <v>2.7</v>
      </c>
      <c r="I13" s="502"/>
      <c r="J13" s="502"/>
      <c r="K13" s="502"/>
      <c r="L13" s="498"/>
      <c r="M13" s="503">
        <v>1</v>
      </c>
      <c r="N13" s="501"/>
      <c r="O13" s="501"/>
      <c r="P13" s="501"/>
      <c r="Q13" s="501"/>
      <c r="R13" s="501"/>
      <c r="S13" s="501"/>
      <c r="T13" s="220"/>
      <c r="U13" s="126"/>
      <c r="V13" s="501"/>
      <c r="W13" s="220"/>
      <c r="X13" s="501"/>
      <c r="Y13" s="502"/>
      <c r="Z13" s="124"/>
    </row>
    <row r="14" spans="2:26" x14ac:dyDescent="0.25">
      <c r="B14" s="125">
        <v>211</v>
      </c>
      <c r="C14" s="126" t="s">
        <v>17</v>
      </c>
      <c r="D14" s="124">
        <v>2.5</v>
      </c>
      <c r="E14" s="499"/>
      <c r="F14" s="500"/>
      <c r="G14" s="501"/>
      <c r="H14" s="500">
        <f>D14</f>
        <v>2.5</v>
      </c>
      <c r="I14" s="502"/>
      <c r="J14" s="502"/>
      <c r="K14" s="502"/>
      <c r="L14" s="498"/>
      <c r="M14" s="503">
        <v>2</v>
      </c>
      <c r="N14" s="501"/>
      <c r="O14" s="501"/>
      <c r="P14" s="501"/>
      <c r="Q14" s="501"/>
      <c r="R14" s="501"/>
      <c r="S14" s="501"/>
      <c r="T14" s="220"/>
      <c r="U14" s="126"/>
      <c r="V14" s="501"/>
      <c r="W14" s="220"/>
      <c r="X14" s="501"/>
      <c r="Y14" s="502"/>
      <c r="Z14" s="124"/>
    </row>
    <row r="15" spans="2:26" x14ac:dyDescent="0.25">
      <c r="B15" s="125">
        <v>212</v>
      </c>
      <c r="C15" s="126" t="s">
        <v>24</v>
      </c>
      <c r="D15" s="124">
        <v>8.1</v>
      </c>
      <c r="E15" s="499">
        <f>D15</f>
        <v>8.1</v>
      </c>
      <c r="F15" s="500"/>
      <c r="G15" s="501"/>
      <c r="H15" s="500"/>
      <c r="I15" s="502"/>
      <c r="J15" s="502"/>
      <c r="K15" s="502"/>
      <c r="L15" s="498"/>
      <c r="M15" s="503"/>
      <c r="N15" s="501"/>
      <c r="O15" s="501"/>
      <c r="P15" s="501"/>
      <c r="Q15" s="501"/>
      <c r="R15" s="501"/>
      <c r="S15" s="501"/>
      <c r="T15" s="220">
        <v>1</v>
      </c>
      <c r="U15" s="126"/>
      <c r="V15" s="501"/>
      <c r="W15" s="220"/>
      <c r="X15" s="501"/>
      <c r="Y15" s="502"/>
      <c r="Z15" s="124"/>
    </row>
    <row r="16" spans="2:26" x14ac:dyDescent="0.25">
      <c r="B16" s="125">
        <v>213</v>
      </c>
      <c r="C16" s="126" t="s">
        <v>11</v>
      </c>
      <c r="D16" s="124">
        <v>24.1</v>
      </c>
      <c r="E16" s="499">
        <v>25</v>
      </c>
      <c r="F16" s="500"/>
      <c r="G16" s="501"/>
      <c r="H16" s="500"/>
      <c r="I16" s="502"/>
      <c r="J16" s="502"/>
      <c r="K16" s="502"/>
      <c r="L16" s="498"/>
      <c r="M16" s="503"/>
      <c r="N16" s="501"/>
      <c r="O16" s="501"/>
      <c r="P16" s="501"/>
      <c r="Q16" s="501">
        <v>4</v>
      </c>
      <c r="R16" s="611">
        <v>4</v>
      </c>
      <c r="S16" s="501"/>
      <c r="T16" s="220"/>
      <c r="U16" s="126"/>
      <c r="V16" s="501"/>
      <c r="W16" s="220"/>
      <c r="X16" s="501"/>
      <c r="Y16" s="502"/>
      <c r="Z16" s="124"/>
    </row>
    <row r="17" spans="2:26" x14ac:dyDescent="0.25">
      <c r="B17" s="125">
        <v>214</v>
      </c>
      <c r="C17" s="126" t="s">
        <v>68</v>
      </c>
      <c r="D17" s="124">
        <v>14.5</v>
      </c>
      <c r="E17" s="499"/>
      <c r="F17" s="500"/>
      <c r="G17" s="501"/>
      <c r="H17" s="500">
        <f>D17</f>
        <v>14.5</v>
      </c>
      <c r="I17" s="502"/>
      <c r="J17" s="502"/>
      <c r="K17" s="502"/>
      <c r="L17" s="498"/>
      <c r="M17" s="503">
        <v>8</v>
      </c>
      <c r="N17" s="501"/>
      <c r="O17" s="501"/>
      <c r="P17" s="501"/>
      <c r="Q17" s="501"/>
      <c r="R17" s="501"/>
      <c r="S17" s="501"/>
      <c r="T17" s="220"/>
      <c r="U17" s="126"/>
      <c r="V17" s="501"/>
      <c r="W17" s="220"/>
      <c r="X17" s="501"/>
      <c r="Y17" s="502"/>
      <c r="Z17" s="124"/>
    </row>
    <row r="18" spans="2:26" x14ac:dyDescent="0.25">
      <c r="B18" s="125">
        <v>215</v>
      </c>
      <c r="C18" s="126" t="s">
        <v>69</v>
      </c>
      <c r="D18" s="124">
        <v>48.5</v>
      </c>
      <c r="E18" s="499">
        <f>D18</f>
        <v>48.5</v>
      </c>
      <c r="F18" s="500"/>
      <c r="G18" s="501"/>
      <c r="H18" s="500"/>
      <c r="I18" s="502"/>
      <c r="J18" s="502"/>
      <c r="K18" s="502"/>
      <c r="L18" s="498"/>
      <c r="M18" s="503"/>
      <c r="N18" s="501"/>
      <c r="O18" s="501"/>
      <c r="P18" s="501">
        <v>8</v>
      </c>
      <c r="Q18" s="501"/>
      <c r="R18" s="611"/>
      <c r="S18" s="501"/>
      <c r="T18" s="220"/>
      <c r="U18" s="126"/>
      <c r="V18" s="501"/>
      <c r="W18" s="220">
        <v>1</v>
      </c>
      <c r="X18" s="501"/>
      <c r="Y18" s="502"/>
      <c r="Z18" s="124"/>
    </row>
    <row r="19" spans="2:26" x14ac:dyDescent="0.25">
      <c r="B19" s="125">
        <v>216</v>
      </c>
      <c r="C19" s="126" t="s">
        <v>70</v>
      </c>
      <c r="D19" s="124">
        <v>73.8</v>
      </c>
      <c r="E19" s="499">
        <f>D19-8.8</f>
        <v>65</v>
      </c>
      <c r="F19" s="500">
        <v>10.8</v>
      </c>
      <c r="G19" s="501"/>
      <c r="H19" s="500"/>
      <c r="I19" s="502"/>
      <c r="J19" s="502"/>
      <c r="K19" s="502"/>
      <c r="L19" s="498"/>
      <c r="M19" s="503"/>
      <c r="N19" s="501"/>
      <c r="O19" s="501"/>
      <c r="P19" s="501">
        <v>12</v>
      </c>
      <c r="Q19" s="501"/>
      <c r="R19" s="501"/>
      <c r="S19" s="501"/>
      <c r="T19" s="220"/>
      <c r="U19" s="126"/>
      <c r="V19" s="501"/>
      <c r="W19" s="220"/>
      <c r="X19" s="501"/>
      <c r="Y19" s="502"/>
      <c r="Z19" s="124"/>
    </row>
    <row r="20" spans="2:26" x14ac:dyDescent="0.25">
      <c r="B20" s="125">
        <v>217</v>
      </c>
      <c r="C20" s="126" t="s">
        <v>71</v>
      </c>
      <c r="D20" s="124">
        <v>22.7</v>
      </c>
      <c r="E20" s="499"/>
      <c r="F20" s="500"/>
      <c r="G20" s="501">
        <f>D20</f>
        <v>22.7</v>
      </c>
      <c r="H20" s="500"/>
      <c r="I20" s="502"/>
      <c r="J20" s="502"/>
      <c r="K20" s="502"/>
      <c r="L20" s="498"/>
      <c r="M20" s="503">
        <v>10</v>
      </c>
      <c r="N20" s="501"/>
      <c r="O20" s="501"/>
      <c r="P20" s="501"/>
      <c r="Q20" s="501"/>
      <c r="R20" s="501"/>
      <c r="S20" s="501"/>
      <c r="T20" s="220"/>
      <c r="U20" s="126"/>
      <c r="V20" s="501"/>
      <c r="W20" s="220"/>
      <c r="X20" s="501"/>
      <c r="Y20" s="502"/>
      <c r="Z20" s="124"/>
    </row>
    <row r="21" spans="2:26" x14ac:dyDescent="0.25">
      <c r="B21" s="125">
        <v>218</v>
      </c>
      <c r="C21" s="126" t="s">
        <v>72</v>
      </c>
      <c r="D21" s="124">
        <v>50</v>
      </c>
      <c r="E21" s="499">
        <f>D21</f>
        <v>50</v>
      </c>
      <c r="F21" s="500"/>
      <c r="G21" s="501"/>
      <c r="H21" s="500"/>
      <c r="I21" s="502"/>
      <c r="J21" s="502"/>
      <c r="K21" s="502"/>
      <c r="L21" s="498"/>
      <c r="M21" s="503"/>
      <c r="N21" s="501"/>
      <c r="O21" s="501"/>
      <c r="P21" s="501">
        <v>8</v>
      </c>
      <c r="Q21" s="501"/>
      <c r="R21" s="501"/>
      <c r="S21" s="501"/>
      <c r="T21" s="220"/>
      <c r="U21" s="126"/>
      <c r="V21" s="501"/>
      <c r="W21" s="220">
        <v>1</v>
      </c>
      <c r="X21" s="501"/>
      <c r="Y21" s="502"/>
      <c r="Z21" s="124"/>
    </row>
    <row r="22" spans="2:26" x14ac:dyDescent="0.25">
      <c r="B22" s="125">
        <v>219</v>
      </c>
      <c r="C22" s="126" t="s">
        <v>73</v>
      </c>
      <c r="D22" s="124">
        <v>73.8</v>
      </c>
      <c r="E22" s="499">
        <f>D22</f>
        <v>73.8</v>
      </c>
      <c r="F22" s="500"/>
      <c r="G22" s="501"/>
      <c r="H22" s="500"/>
      <c r="I22" s="502"/>
      <c r="J22" s="502"/>
      <c r="K22" s="502"/>
      <c r="L22" s="498"/>
      <c r="M22" s="503"/>
      <c r="N22" s="501"/>
      <c r="O22" s="501"/>
      <c r="P22" s="501">
        <v>12</v>
      </c>
      <c r="Q22" s="501"/>
      <c r="R22" s="501"/>
      <c r="S22" s="501"/>
      <c r="T22" s="220"/>
      <c r="U22" s="126"/>
      <c r="V22" s="501"/>
      <c r="W22" s="220"/>
      <c r="X22" s="501"/>
      <c r="Y22" s="502"/>
      <c r="Z22" s="124"/>
    </row>
    <row r="23" spans="2:26" x14ac:dyDescent="0.25">
      <c r="B23" s="125">
        <v>220</v>
      </c>
      <c r="C23" s="126" t="s">
        <v>74</v>
      </c>
      <c r="D23" s="124">
        <v>22.2</v>
      </c>
      <c r="E23" s="499"/>
      <c r="F23" s="500"/>
      <c r="G23" s="501">
        <f>D23</f>
        <v>22.2</v>
      </c>
      <c r="H23" s="500"/>
      <c r="I23" s="502"/>
      <c r="J23" s="502"/>
      <c r="K23" s="502"/>
      <c r="L23" s="498"/>
      <c r="M23" s="503">
        <v>10</v>
      </c>
      <c r="N23" s="501"/>
      <c r="O23" s="501"/>
      <c r="P23" s="501"/>
      <c r="Q23" s="501"/>
      <c r="R23" s="501"/>
      <c r="S23" s="501"/>
      <c r="T23" s="220"/>
      <c r="U23" s="126"/>
      <c r="V23" s="501"/>
      <c r="W23" s="220"/>
      <c r="X23" s="501"/>
      <c r="Y23" s="502"/>
      <c r="Z23" s="124"/>
    </row>
    <row r="24" spans="2:26" x14ac:dyDescent="0.25">
      <c r="B24" s="125">
        <v>221</v>
      </c>
      <c r="C24" s="126" t="s">
        <v>75</v>
      </c>
      <c r="D24" s="124">
        <v>33.200000000000003</v>
      </c>
      <c r="E24" s="499"/>
      <c r="F24" s="500"/>
      <c r="G24" s="501"/>
      <c r="H24" s="500">
        <f>D24</f>
        <v>33.200000000000003</v>
      </c>
      <c r="I24" s="502"/>
      <c r="J24" s="502"/>
      <c r="K24" s="502"/>
      <c r="L24" s="498"/>
      <c r="M24" s="503">
        <v>16</v>
      </c>
      <c r="N24" s="501"/>
      <c r="O24" s="501"/>
      <c r="P24" s="501"/>
      <c r="Q24" s="501"/>
      <c r="R24" s="501"/>
      <c r="S24" s="501"/>
      <c r="T24" s="220"/>
      <c r="U24" s="126"/>
      <c r="V24" s="501"/>
      <c r="W24" s="220"/>
      <c r="X24" s="501"/>
      <c r="Y24" s="502"/>
      <c r="Z24" s="124"/>
    </row>
    <row r="25" spans="2:26" x14ac:dyDescent="0.25">
      <c r="B25" s="125">
        <v>222</v>
      </c>
      <c r="C25" s="126" t="s">
        <v>76</v>
      </c>
      <c r="D25" s="124">
        <v>21.9</v>
      </c>
      <c r="E25" s="499"/>
      <c r="F25" s="500"/>
      <c r="G25" s="501">
        <f>D25</f>
        <v>21.9</v>
      </c>
      <c r="H25" s="500"/>
      <c r="I25" s="502"/>
      <c r="J25" s="502"/>
      <c r="K25" s="502"/>
      <c r="L25" s="124"/>
      <c r="M25" s="503">
        <v>10</v>
      </c>
      <c r="N25" s="501"/>
      <c r="O25" s="501"/>
      <c r="P25" s="501"/>
      <c r="Q25" s="501"/>
      <c r="R25" s="501"/>
      <c r="S25" s="501"/>
      <c r="T25" s="220"/>
      <c r="U25" s="126"/>
      <c r="V25" s="501"/>
      <c r="W25" s="220"/>
      <c r="X25" s="501"/>
      <c r="Y25" s="502"/>
      <c r="Z25" s="124"/>
    </row>
    <row r="26" spans="2:26" x14ac:dyDescent="0.25">
      <c r="B26" s="125">
        <v>223</v>
      </c>
      <c r="C26" s="126" t="s">
        <v>78</v>
      </c>
      <c r="D26" s="124">
        <v>73.8</v>
      </c>
      <c r="E26" s="499">
        <f>D26</f>
        <v>73.8</v>
      </c>
      <c r="F26" s="500"/>
      <c r="G26" s="501"/>
      <c r="H26" s="500"/>
      <c r="I26" s="502"/>
      <c r="J26" s="502"/>
      <c r="K26" s="502"/>
      <c r="L26" s="498"/>
      <c r="M26" s="503"/>
      <c r="N26" s="501"/>
      <c r="O26" s="501"/>
      <c r="P26" s="501">
        <v>12</v>
      </c>
      <c r="Q26" s="501"/>
      <c r="R26" s="501"/>
      <c r="S26" s="501"/>
      <c r="T26" s="220"/>
      <c r="U26" s="126"/>
      <c r="V26" s="501"/>
      <c r="W26" s="220"/>
      <c r="X26" s="501"/>
      <c r="Y26" s="502"/>
      <c r="Z26" s="124"/>
    </row>
    <row r="27" spans="2:26" x14ac:dyDescent="0.25">
      <c r="B27" s="125">
        <v>224</v>
      </c>
      <c r="C27" s="126" t="s">
        <v>77</v>
      </c>
      <c r="D27" s="124">
        <v>59.4</v>
      </c>
      <c r="E27" s="499">
        <f t="shared" ref="E27:E29" si="0">D27</f>
        <v>59.4</v>
      </c>
      <c r="F27" s="500"/>
      <c r="G27" s="501"/>
      <c r="H27" s="500"/>
      <c r="I27" s="502"/>
      <c r="J27" s="502"/>
      <c r="K27" s="502"/>
      <c r="L27" s="498"/>
      <c r="M27" s="503"/>
      <c r="N27" s="501"/>
      <c r="O27" s="501"/>
      <c r="P27" s="501">
        <v>12</v>
      </c>
      <c r="Q27" s="501"/>
      <c r="R27" s="501"/>
      <c r="S27" s="501"/>
      <c r="T27" s="220"/>
      <c r="U27" s="126"/>
      <c r="V27" s="501"/>
      <c r="W27" s="220">
        <v>1</v>
      </c>
      <c r="X27" s="501"/>
      <c r="Y27" s="502"/>
      <c r="Z27" s="124"/>
    </row>
    <row r="28" spans="2:26" x14ac:dyDescent="0.25">
      <c r="B28" s="125">
        <v>225</v>
      </c>
      <c r="C28" s="126" t="s">
        <v>79</v>
      </c>
      <c r="D28" s="124">
        <v>59.4</v>
      </c>
      <c r="E28" s="499">
        <f t="shared" si="0"/>
        <v>59.4</v>
      </c>
      <c r="F28" s="500"/>
      <c r="G28" s="501"/>
      <c r="H28" s="500"/>
      <c r="I28" s="502"/>
      <c r="J28" s="502"/>
      <c r="K28" s="502"/>
      <c r="L28" s="498"/>
      <c r="M28" s="503"/>
      <c r="N28" s="501"/>
      <c r="O28" s="501"/>
      <c r="P28" s="501">
        <v>12</v>
      </c>
      <c r="Q28" s="501"/>
      <c r="R28" s="501"/>
      <c r="S28" s="501"/>
      <c r="T28" s="220"/>
      <c r="U28" s="126"/>
      <c r="V28" s="501"/>
      <c r="W28" s="220">
        <v>1</v>
      </c>
      <c r="X28" s="501"/>
      <c r="Y28" s="502"/>
      <c r="Z28" s="124"/>
    </row>
    <row r="29" spans="2:26" x14ac:dyDescent="0.25">
      <c r="B29" s="125">
        <v>226</v>
      </c>
      <c r="C29" s="126" t="s">
        <v>80</v>
      </c>
      <c r="D29" s="124">
        <v>73.8</v>
      </c>
      <c r="E29" s="499">
        <f t="shared" si="0"/>
        <v>73.8</v>
      </c>
      <c r="F29" s="500"/>
      <c r="G29" s="501"/>
      <c r="H29" s="500"/>
      <c r="I29" s="502"/>
      <c r="J29" s="502"/>
      <c r="K29" s="502"/>
      <c r="L29" s="498"/>
      <c r="M29" s="503"/>
      <c r="N29" s="501"/>
      <c r="O29" s="501"/>
      <c r="P29" s="501">
        <v>12</v>
      </c>
      <c r="Q29" s="501"/>
      <c r="R29" s="501"/>
      <c r="S29" s="501"/>
      <c r="T29" s="220"/>
      <c r="U29" s="126"/>
      <c r="V29" s="501"/>
      <c r="W29" s="220"/>
      <c r="X29" s="501"/>
      <c r="Y29" s="502"/>
      <c r="Z29" s="124"/>
    </row>
    <row r="30" spans="2:26" x14ac:dyDescent="0.25">
      <c r="B30" s="125">
        <v>227</v>
      </c>
      <c r="C30" s="126" t="s">
        <v>81</v>
      </c>
      <c r="D30" s="124">
        <v>21.9</v>
      </c>
      <c r="E30" s="499"/>
      <c r="F30" s="500"/>
      <c r="G30" s="501">
        <f>D30</f>
        <v>21.9</v>
      </c>
      <c r="H30" s="500"/>
      <c r="I30" s="502"/>
      <c r="J30" s="502"/>
      <c r="K30" s="502"/>
      <c r="L30" s="498"/>
      <c r="M30" s="503">
        <v>10</v>
      </c>
      <c r="N30" s="501"/>
      <c r="O30" s="501"/>
      <c r="P30" s="501"/>
      <c r="Q30" s="501"/>
      <c r="R30" s="501"/>
      <c r="S30" s="501"/>
      <c r="T30" s="220"/>
      <c r="U30" s="126"/>
      <c r="V30" s="501"/>
      <c r="W30" s="220"/>
      <c r="X30" s="501"/>
      <c r="Y30" s="502"/>
      <c r="Z30" s="124"/>
    </row>
    <row r="31" spans="2:26" x14ac:dyDescent="0.25">
      <c r="B31" s="125">
        <v>228</v>
      </c>
      <c r="C31" s="126" t="s">
        <v>82</v>
      </c>
      <c r="D31" s="124">
        <v>33.200000000000003</v>
      </c>
      <c r="E31" s="499"/>
      <c r="F31" s="500"/>
      <c r="G31" s="501"/>
      <c r="H31" s="500">
        <f>D31</f>
        <v>33.200000000000003</v>
      </c>
      <c r="I31" s="502"/>
      <c r="J31" s="502"/>
      <c r="K31" s="502"/>
      <c r="L31" s="498"/>
      <c r="M31" s="503">
        <v>16</v>
      </c>
      <c r="N31" s="501"/>
      <c r="O31" s="501"/>
      <c r="P31" s="501"/>
      <c r="Q31" s="501"/>
      <c r="R31" s="501"/>
      <c r="S31" s="501"/>
      <c r="T31" s="220"/>
      <c r="U31" s="126"/>
      <c r="V31" s="501"/>
      <c r="W31" s="220"/>
      <c r="X31" s="501"/>
      <c r="Y31" s="502"/>
      <c r="Z31" s="124"/>
    </row>
    <row r="32" spans="2:26" x14ac:dyDescent="0.25">
      <c r="B32" s="125">
        <v>229</v>
      </c>
      <c r="C32" s="126" t="s">
        <v>83</v>
      </c>
      <c r="D32" s="124">
        <v>22.2</v>
      </c>
      <c r="E32" s="499"/>
      <c r="F32" s="500"/>
      <c r="G32" s="501">
        <f>D32</f>
        <v>22.2</v>
      </c>
      <c r="H32" s="500"/>
      <c r="I32" s="502"/>
      <c r="J32" s="502"/>
      <c r="K32" s="502"/>
      <c r="L32" s="498"/>
      <c r="M32" s="503">
        <v>10</v>
      </c>
      <c r="N32" s="501"/>
      <c r="O32" s="501"/>
      <c r="P32" s="501"/>
      <c r="Q32" s="501"/>
      <c r="R32" s="501"/>
      <c r="S32" s="501"/>
      <c r="T32" s="220"/>
      <c r="U32" s="126"/>
      <c r="V32" s="501"/>
      <c r="W32" s="220"/>
      <c r="X32" s="501"/>
      <c r="Y32" s="502"/>
      <c r="Z32" s="124"/>
    </row>
    <row r="33" spans="2:26" x14ac:dyDescent="0.25">
      <c r="B33" s="125">
        <v>230</v>
      </c>
      <c r="C33" s="126" t="s">
        <v>84</v>
      </c>
      <c r="D33" s="124">
        <v>73.8</v>
      </c>
      <c r="E33" s="499">
        <f>D33</f>
        <v>73.8</v>
      </c>
      <c r="F33" s="500"/>
      <c r="G33" s="501"/>
      <c r="H33" s="500"/>
      <c r="I33" s="502"/>
      <c r="J33" s="502"/>
      <c r="K33" s="502"/>
      <c r="L33" s="498"/>
      <c r="M33" s="503"/>
      <c r="N33" s="501"/>
      <c r="O33" s="501"/>
      <c r="P33" s="501">
        <v>12</v>
      </c>
      <c r="Q33" s="501"/>
      <c r="R33" s="501"/>
      <c r="S33" s="501"/>
      <c r="T33" s="220"/>
      <c r="U33" s="126"/>
      <c r="V33" s="501"/>
      <c r="W33" s="220"/>
      <c r="X33" s="501"/>
      <c r="Y33" s="502"/>
      <c r="Z33" s="124"/>
    </row>
    <row r="34" spans="2:26" x14ac:dyDescent="0.25">
      <c r="B34" s="125">
        <v>231</v>
      </c>
      <c r="C34" s="126" t="s">
        <v>85</v>
      </c>
      <c r="D34" s="124">
        <v>50</v>
      </c>
      <c r="E34" s="499">
        <f>D34</f>
        <v>50</v>
      </c>
      <c r="F34" s="500"/>
      <c r="G34" s="501"/>
      <c r="H34" s="500"/>
      <c r="I34" s="502"/>
      <c r="J34" s="502"/>
      <c r="K34" s="502"/>
      <c r="L34" s="498"/>
      <c r="M34" s="503"/>
      <c r="N34" s="501"/>
      <c r="O34" s="501"/>
      <c r="P34" s="501">
        <v>8</v>
      </c>
      <c r="Q34" s="501"/>
      <c r="R34" s="501"/>
      <c r="S34" s="501"/>
      <c r="T34" s="220"/>
      <c r="U34" s="126"/>
      <c r="V34" s="501"/>
      <c r="W34" s="220">
        <v>1</v>
      </c>
      <c r="X34" s="501"/>
      <c r="Y34" s="502"/>
      <c r="Z34" s="124"/>
    </row>
    <row r="35" spans="2:26" x14ac:dyDescent="0.25">
      <c r="B35" s="125">
        <v>232</v>
      </c>
      <c r="C35" s="126" t="s">
        <v>86</v>
      </c>
      <c r="D35" s="124">
        <v>22.7</v>
      </c>
      <c r="E35" s="499"/>
      <c r="F35" s="500"/>
      <c r="G35" s="501">
        <f>D35</f>
        <v>22.7</v>
      </c>
      <c r="H35" s="500"/>
      <c r="I35" s="502"/>
      <c r="J35" s="502"/>
      <c r="K35" s="502"/>
      <c r="L35" s="498"/>
      <c r="M35" s="503">
        <v>10</v>
      </c>
      <c r="N35" s="501"/>
      <c r="O35" s="501"/>
      <c r="P35" s="501"/>
      <c r="Q35" s="501"/>
      <c r="R35" s="501"/>
      <c r="S35" s="501"/>
      <c r="T35" s="220"/>
      <c r="U35" s="126"/>
      <c r="V35" s="501"/>
      <c r="W35" s="220"/>
      <c r="X35" s="501"/>
      <c r="Y35" s="502"/>
      <c r="Z35" s="124"/>
    </row>
    <row r="36" spans="2:26" x14ac:dyDescent="0.25">
      <c r="B36" s="125">
        <v>233</v>
      </c>
      <c r="C36" s="126" t="s">
        <v>87</v>
      </c>
      <c r="D36" s="124">
        <v>73.8</v>
      </c>
      <c r="E36" s="499">
        <f>D36-8.8</f>
        <v>65</v>
      </c>
      <c r="F36" s="500">
        <v>10.8</v>
      </c>
      <c r="G36" s="501"/>
      <c r="H36" s="500"/>
      <c r="I36" s="502"/>
      <c r="J36" s="502"/>
      <c r="K36" s="502"/>
      <c r="L36" s="498"/>
      <c r="M36" s="503"/>
      <c r="N36" s="501"/>
      <c r="O36" s="501"/>
      <c r="P36" s="501">
        <v>12</v>
      </c>
      <c r="Q36" s="501"/>
      <c r="R36" s="501"/>
      <c r="S36" s="501"/>
      <c r="T36" s="220"/>
      <c r="U36" s="126"/>
      <c r="V36" s="501"/>
      <c r="W36" s="220"/>
      <c r="X36" s="501"/>
      <c r="Y36" s="502"/>
      <c r="Z36" s="124"/>
    </row>
    <row r="37" spans="2:26" x14ac:dyDescent="0.25">
      <c r="B37" s="125">
        <v>234</v>
      </c>
      <c r="C37" s="126" t="s">
        <v>88</v>
      </c>
      <c r="D37" s="124">
        <v>48.5</v>
      </c>
      <c r="E37" s="499">
        <f>D37</f>
        <v>48.5</v>
      </c>
      <c r="F37" s="500"/>
      <c r="G37" s="501"/>
      <c r="H37" s="500"/>
      <c r="I37" s="502"/>
      <c r="J37" s="502"/>
      <c r="K37" s="502"/>
      <c r="L37" s="498"/>
      <c r="M37" s="503"/>
      <c r="N37" s="501"/>
      <c r="O37" s="501"/>
      <c r="P37" s="501">
        <v>8</v>
      </c>
      <c r="Q37" s="501"/>
      <c r="R37" s="501"/>
      <c r="S37" s="501"/>
      <c r="T37" s="220"/>
      <c r="U37" s="126"/>
      <c r="V37" s="501"/>
      <c r="W37" s="220">
        <v>1</v>
      </c>
      <c r="X37" s="501"/>
      <c r="Y37" s="502"/>
      <c r="Z37" s="124"/>
    </row>
    <row r="38" spans="2:26" x14ac:dyDescent="0.25">
      <c r="B38" s="125">
        <v>235</v>
      </c>
      <c r="C38" s="126" t="s">
        <v>89</v>
      </c>
      <c r="D38" s="124">
        <v>14.6</v>
      </c>
      <c r="E38" s="499"/>
      <c r="F38" s="500"/>
      <c r="G38" s="501"/>
      <c r="H38" s="500">
        <f>D38</f>
        <v>14.6</v>
      </c>
      <c r="I38" s="502"/>
      <c r="J38" s="502"/>
      <c r="K38" s="502"/>
      <c r="L38" s="498"/>
      <c r="M38" s="503">
        <v>8</v>
      </c>
      <c r="N38" s="501"/>
      <c r="O38" s="501"/>
      <c r="P38" s="501"/>
      <c r="Q38" s="501"/>
      <c r="R38" s="501"/>
      <c r="S38" s="501"/>
      <c r="T38" s="126"/>
      <c r="U38" s="220"/>
      <c r="V38" s="501"/>
      <c r="W38" s="126"/>
      <c r="X38" s="501"/>
      <c r="Y38" s="502"/>
      <c r="Z38" s="124"/>
    </row>
    <row r="39" spans="2:26" x14ac:dyDescent="0.25">
      <c r="B39" s="125">
        <v>236</v>
      </c>
      <c r="C39" s="126" t="s">
        <v>11</v>
      </c>
      <c r="D39" s="124">
        <v>25.2</v>
      </c>
      <c r="E39" s="499">
        <v>25</v>
      </c>
      <c r="F39" s="500"/>
      <c r="G39" s="501"/>
      <c r="H39" s="500"/>
      <c r="I39" s="502"/>
      <c r="J39" s="502"/>
      <c r="K39" s="502"/>
      <c r="L39" s="498"/>
      <c r="M39" s="503"/>
      <c r="N39" s="501"/>
      <c r="O39" s="501"/>
      <c r="P39" s="501"/>
      <c r="Q39" s="501">
        <v>4</v>
      </c>
      <c r="R39" s="501">
        <v>4</v>
      </c>
      <c r="S39" s="501"/>
      <c r="T39" s="220"/>
      <c r="U39" s="220"/>
      <c r="V39" s="501"/>
      <c r="W39" s="220"/>
      <c r="X39" s="501"/>
      <c r="Y39" s="502"/>
      <c r="Z39" s="124"/>
    </row>
    <row r="40" spans="2:26" x14ac:dyDescent="0.25">
      <c r="B40" s="125">
        <v>237</v>
      </c>
      <c r="C40" s="126" t="s">
        <v>90</v>
      </c>
      <c r="D40" s="124">
        <v>23.8</v>
      </c>
      <c r="E40" s="499">
        <f>D40</f>
        <v>23.8</v>
      </c>
      <c r="F40" s="500"/>
      <c r="G40" s="501"/>
      <c r="H40" s="500"/>
      <c r="I40" s="502"/>
      <c r="J40" s="502"/>
      <c r="K40" s="502"/>
      <c r="L40" s="498"/>
      <c r="M40" s="503"/>
      <c r="N40" s="501">
        <v>6</v>
      </c>
      <c r="O40" s="501"/>
      <c r="P40" s="501"/>
      <c r="Q40" s="501"/>
      <c r="R40" s="501"/>
      <c r="S40" s="501"/>
      <c r="T40" s="501"/>
      <c r="U40" s="501"/>
      <c r="V40" s="501"/>
      <c r="W40" s="501"/>
      <c r="X40" s="501"/>
      <c r="Y40" s="502"/>
      <c r="Z40" s="124"/>
    </row>
    <row r="41" spans="2:26" x14ac:dyDescent="0.25">
      <c r="B41" s="125">
        <v>238</v>
      </c>
      <c r="C41" s="126" t="s">
        <v>91</v>
      </c>
      <c r="D41" s="124">
        <v>22.2</v>
      </c>
      <c r="E41" s="499">
        <f>D41</f>
        <v>22.2</v>
      </c>
      <c r="F41" s="500"/>
      <c r="G41" s="501"/>
      <c r="H41" s="500"/>
      <c r="I41" s="502"/>
      <c r="J41" s="502"/>
      <c r="K41" s="502"/>
      <c r="L41" s="498"/>
      <c r="M41" s="503"/>
      <c r="N41" s="501">
        <v>7</v>
      </c>
      <c r="O41" s="501"/>
      <c r="P41" s="501"/>
      <c r="Q41" s="501"/>
      <c r="R41" s="501"/>
      <c r="S41" s="501"/>
      <c r="T41" s="501"/>
      <c r="U41" s="501"/>
      <c r="V41" s="501"/>
      <c r="W41" s="501"/>
      <c r="X41" s="501"/>
      <c r="Y41" s="502"/>
      <c r="Z41" s="124"/>
    </row>
    <row r="42" spans="2:26" x14ac:dyDescent="0.25">
      <c r="B42" s="125">
        <v>239</v>
      </c>
      <c r="C42" s="126" t="s">
        <v>17</v>
      </c>
      <c r="D42" s="124">
        <v>5.0999999999999996</v>
      </c>
      <c r="E42" s="504"/>
      <c r="F42" s="505"/>
      <c r="G42" s="220"/>
      <c r="H42" s="505">
        <f>D42</f>
        <v>5.0999999999999996</v>
      </c>
      <c r="I42" s="122"/>
      <c r="J42" s="122"/>
      <c r="K42" s="122"/>
      <c r="L42" s="124"/>
      <c r="M42" s="125">
        <v>2</v>
      </c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122"/>
      <c r="Z42" s="124"/>
    </row>
    <row r="43" spans="2:26" x14ac:dyDescent="0.25">
      <c r="B43" s="125">
        <v>240</v>
      </c>
      <c r="C43" s="126" t="s">
        <v>16</v>
      </c>
      <c r="D43" s="124">
        <v>37.299999999999997</v>
      </c>
      <c r="E43" s="219"/>
      <c r="F43" s="506"/>
      <c r="G43" s="507">
        <f>D43</f>
        <v>37.299999999999997</v>
      </c>
      <c r="H43" s="506"/>
      <c r="I43" s="508"/>
      <c r="J43" s="508"/>
      <c r="K43" s="508"/>
      <c r="L43" s="509"/>
      <c r="M43" s="510"/>
      <c r="N43" s="507"/>
      <c r="O43" s="507"/>
      <c r="P43" s="220"/>
      <c r="Q43" s="220">
        <v>10</v>
      </c>
      <c r="R43" s="220"/>
      <c r="S43" s="220"/>
      <c r="T43" s="220"/>
      <c r="U43" s="220"/>
      <c r="V43" s="220"/>
      <c r="W43" s="220"/>
      <c r="X43" s="220"/>
      <c r="Y43" s="122"/>
      <c r="Z43" s="124"/>
    </row>
    <row r="44" spans="2:26" x14ac:dyDescent="0.25">
      <c r="B44" s="125">
        <v>241</v>
      </c>
      <c r="C44" s="126" t="s">
        <v>92</v>
      </c>
      <c r="D44" s="124">
        <v>18.3</v>
      </c>
      <c r="E44" s="504">
        <f>D44</f>
        <v>18.3</v>
      </c>
      <c r="F44" s="505"/>
      <c r="G44" s="220"/>
      <c r="H44" s="505"/>
      <c r="I44" s="122"/>
      <c r="J44" s="122"/>
      <c r="K44" s="122"/>
      <c r="L44" s="124"/>
      <c r="M44" s="125"/>
      <c r="N44" s="220">
        <v>6</v>
      </c>
      <c r="O44" s="220"/>
      <c r="P44" s="220"/>
      <c r="Q44" s="220"/>
      <c r="R44" s="220"/>
      <c r="S44" s="220"/>
      <c r="T44" s="220"/>
      <c r="U44" s="220"/>
      <c r="V44" s="220"/>
      <c r="W44" s="220"/>
      <c r="X44" s="220"/>
      <c r="Y44" s="122"/>
      <c r="Z44" s="124"/>
    </row>
    <row r="45" spans="2:26" x14ac:dyDescent="0.25">
      <c r="B45" s="125">
        <v>242</v>
      </c>
      <c r="C45" s="126" t="s">
        <v>65</v>
      </c>
      <c r="D45" s="124">
        <v>24.9</v>
      </c>
      <c r="E45" s="504">
        <f>D45</f>
        <v>24.9</v>
      </c>
      <c r="F45" s="505"/>
      <c r="G45" s="220"/>
      <c r="H45" s="505"/>
      <c r="I45" s="122"/>
      <c r="J45" s="122"/>
      <c r="K45" s="122"/>
      <c r="L45" s="124"/>
      <c r="M45" s="125"/>
      <c r="N45" s="220"/>
      <c r="O45" s="220"/>
      <c r="P45" s="220"/>
      <c r="Q45" s="220"/>
      <c r="R45" s="220"/>
      <c r="S45" s="220">
        <v>1</v>
      </c>
      <c r="T45" s="220"/>
      <c r="U45" s="612"/>
      <c r="V45" s="220"/>
      <c r="W45" s="220"/>
      <c r="X45" s="220"/>
      <c r="Y45" s="122"/>
      <c r="Z45" s="124"/>
    </row>
    <row r="46" spans="2:26" x14ac:dyDescent="0.25">
      <c r="B46" s="125">
        <v>243</v>
      </c>
      <c r="C46" s="126" t="s">
        <v>11</v>
      </c>
      <c r="D46" s="124">
        <v>2.7</v>
      </c>
      <c r="E46" s="504">
        <v>16</v>
      </c>
      <c r="F46" s="505"/>
      <c r="G46" s="220"/>
      <c r="H46" s="505"/>
      <c r="I46" s="122"/>
      <c r="J46" s="122"/>
      <c r="K46" s="122"/>
      <c r="L46" s="124"/>
      <c r="M46" s="125"/>
      <c r="N46" s="220"/>
      <c r="O46" s="220"/>
      <c r="P46" s="220"/>
      <c r="Q46" s="220"/>
      <c r="R46" s="220"/>
      <c r="S46" s="220"/>
      <c r="T46" s="220"/>
      <c r="U46" s="220"/>
      <c r="V46" s="220"/>
      <c r="W46" s="220"/>
      <c r="X46" s="220"/>
      <c r="Y46" s="122">
        <v>8</v>
      </c>
      <c r="Z46" s="124"/>
    </row>
    <row r="47" spans="2:26" x14ac:dyDescent="0.25">
      <c r="B47" s="125">
        <v>244</v>
      </c>
      <c r="C47" s="126" t="s">
        <v>12</v>
      </c>
      <c r="D47" s="124">
        <v>20.100000000000001</v>
      </c>
      <c r="E47" s="504">
        <f>D47</f>
        <v>20.100000000000001</v>
      </c>
      <c r="F47" s="505"/>
      <c r="G47" s="220"/>
      <c r="H47" s="505"/>
      <c r="I47" s="122"/>
      <c r="J47" s="122"/>
      <c r="K47" s="122"/>
      <c r="L47" s="124">
        <v>11</v>
      </c>
      <c r="M47" s="125"/>
      <c r="N47" s="220"/>
      <c r="O47" s="220"/>
      <c r="P47" s="220"/>
      <c r="Q47" s="220"/>
      <c r="R47" s="220"/>
      <c r="S47" s="220"/>
      <c r="T47" s="220"/>
      <c r="U47" s="612">
        <v>2</v>
      </c>
      <c r="V47" s="220"/>
      <c r="W47" s="220"/>
      <c r="X47" s="220"/>
      <c r="Y47" s="122"/>
      <c r="Z47" s="124"/>
    </row>
    <row r="48" spans="2:26" x14ac:dyDescent="0.25">
      <c r="B48" s="125">
        <v>245</v>
      </c>
      <c r="C48" s="126" t="s">
        <v>65</v>
      </c>
      <c r="D48" s="124">
        <v>24.9</v>
      </c>
      <c r="E48" s="504">
        <v>22.3</v>
      </c>
      <c r="F48" s="505">
        <v>7.6</v>
      </c>
      <c r="G48" s="220"/>
      <c r="H48" s="505"/>
      <c r="I48" s="122"/>
      <c r="J48" s="122"/>
      <c r="K48" s="122"/>
      <c r="L48" s="124">
        <v>10.5</v>
      </c>
      <c r="M48" s="125"/>
      <c r="N48" s="220"/>
      <c r="O48" s="220"/>
      <c r="P48" s="220"/>
      <c r="Q48" s="220"/>
      <c r="R48" s="220"/>
      <c r="S48" s="220">
        <v>1</v>
      </c>
      <c r="T48" s="220"/>
      <c r="U48" s="220"/>
      <c r="V48" s="220"/>
      <c r="W48" s="220"/>
      <c r="X48" s="220"/>
      <c r="Y48" s="122"/>
      <c r="Z48" s="124"/>
    </row>
    <row r="49" spans="2:26" x14ac:dyDescent="0.25">
      <c r="B49" s="125">
        <v>246</v>
      </c>
      <c r="C49" s="126" t="s">
        <v>93</v>
      </c>
      <c r="D49" s="124">
        <v>128.69999999999999</v>
      </c>
      <c r="E49" s="504">
        <f>D49-8.7</f>
        <v>119.99999999999999</v>
      </c>
      <c r="F49" s="505">
        <v>24</v>
      </c>
      <c r="G49" s="220"/>
      <c r="H49" s="505"/>
      <c r="I49" s="122"/>
      <c r="J49" s="122"/>
      <c r="K49" s="122"/>
      <c r="L49" s="124">
        <v>73</v>
      </c>
      <c r="M49" s="125"/>
      <c r="N49" s="220"/>
      <c r="O49" s="220"/>
      <c r="P49" s="220"/>
      <c r="Q49" s="220"/>
      <c r="R49" s="220"/>
      <c r="S49" s="220"/>
      <c r="T49" s="220"/>
      <c r="U49" s="220"/>
      <c r="V49" s="220">
        <v>16</v>
      </c>
      <c r="W49" s="220"/>
      <c r="X49" s="220"/>
      <c r="Y49" s="122"/>
      <c r="Z49" s="124"/>
    </row>
    <row r="50" spans="2:26" ht="15.75" thickBot="1" x14ac:dyDescent="0.3">
      <c r="B50" s="511">
        <v>247</v>
      </c>
      <c r="C50" s="512" t="s">
        <v>94</v>
      </c>
      <c r="D50" s="513">
        <v>16.2</v>
      </c>
      <c r="E50" s="514">
        <f>D50</f>
        <v>16.2</v>
      </c>
      <c r="F50" s="515"/>
      <c r="G50" s="515"/>
      <c r="H50" s="514"/>
      <c r="I50" s="516"/>
      <c r="J50" s="516"/>
      <c r="K50" s="516"/>
      <c r="L50" s="517"/>
      <c r="M50" s="125"/>
      <c r="N50" s="220">
        <v>6</v>
      </c>
      <c r="O50" s="220"/>
      <c r="P50" s="220"/>
      <c r="Q50" s="220"/>
      <c r="R50" s="220"/>
      <c r="S50" s="220"/>
      <c r="T50" s="220"/>
      <c r="U50" s="220"/>
      <c r="V50" s="220"/>
      <c r="W50" s="220"/>
      <c r="X50" s="220"/>
      <c r="Y50" s="122"/>
      <c r="Z50" s="124"/>
    </row>
    <row r="51" spans="2:26" s="371" customFormat="1" ht="14.25" x14ac:dyDescent="0.2">
      <c r="B51" s="518"/>
      <c r="C51" s="519" t="s">
        <v>0</v>
      </c>
      <c r="D51" s="520">
        <f t="shared" ref="D51:K51" si="1">SUM(D4:D50)</f>
        <v>1671.8999999999999</v>
      </c>
      <c r="E51" s="521">
        <f>SUM(E49:E50)</f>
        <v>136.19999999999999</v>
      </c>
      <c r="F51" s="522">
        <f t="shared" si="1"/>
        <v>78.199999999999989</v>
      </c>
      <c r="G51" s="523">
        <f t="shared" si="1"/>
        <v>220.89999999999998</v>
      </c>
      <c r="H51" s="522">
        <f t="shared" si="1"/>
        <v>105.8</v>
      </c>
      <c r="I51" s="524">
        <f t="shared" si="1"/>
        <v>90.4</v>
      </c>
      <c r="J51" s="524">
        <f t="shared" si="1"/>
        <v>32</v>
      </c>
      <c r="K51" s="524">
        <f t="shared" si="1"/>
        <v>55</v>
      </c>
      <c r="L51" s="525">
        <f t="shared" ref="L51:S51" si="2">SUM(L4:L50)</f>
        <v>94.5</v>
      </c>
      <c r="M51" s="521">
        <f t="shared" si="2"/>
        <v>119</v>
      </c>
      <c r="N51" s="523">
        <f t="shared" si="2"/>
        <v>44</v>
      </c>
      <c r="O51" s="523">
        <f t="shared" si="2"/>
        <v>24</v>
      </c>
      <c r="P51" s="526">
        <f t="shared" si="2"/>
        <v>128</v>
      </c>
      <c r="Q51" s="526">
        <f t="shared" si="2"/>
        <v>28</v>
      </c>
      <c r="R51" s="602">
        <f t="shared" si="2"/>
        <v>8</v>
      </c>
      <c r="S51" s="602">
        <f t="shared" si="2"/>
        <v>3</v>
      </c>
      <c r="T51" s="526">
        <f t="shared" ref="T51:Y51" si="3">SUM(T4:T50)</f>
        <v>1</v>
      </c>
      <c r="U51" s="526">
        <f t="shared" si="3"/>
        <v>2</v>
      </c>
      <c r="V51" s="526">
        <f t="shared" si="3"/>
        <v>16</v>
      </c>
      <c r="W51" s="602">
        <f t="shared" si="3"/>
        <v>6</v>
      </c>
      <c r="X51" s="526">
        <f t="shared" si="3"/>
        <v>13</v>
      </c>
      <c r="Y51" s="527">
        <f t="shared" si="3"/>
        <v>8</v>
      </c>
      <c r="Z51" s="525"/>
    </row>
    <row r="52" spans="2:26" s="371" customFormat="1" thickBot="1" x14ac:dyDescent="0.25">
      <c r="B52" s="528"/>
      <c r="C52" s="529" t="s">
        <v>96</v>
      </c>
      <c r="D52" s="530">
        <f>D51+gridas_1st!D75+'gridas_3 st'!D6</f>
        <v>3484.4999999999995</v>
      </c>
      <c r="E52" s="531">
        <f>E51+griesti_lampas_1st!E75+griesti_lampas_3st!E6</f>
        <v>371.9</v>
      </c>
      <c r="F52" s="532">
        <f>F51+griesti_lampas_1st!G75</f>
        <v>152</v>
      </c>
      <c r="G52" s="533">
        <f>G51+griesti_lampas_1st!H75</f>
        <v>489.8</v>
      </c>
      <c r="H52" s="532">
        <f>H51+griesti_lampas_1st!I75</f>
        <v>215.6</v>
      </c>
      <c r="I52" s="534">
        <f>I51</f>
        <v>90.4</v>
      </c>
      <c r="J52" s="534">
        <f>J51</f>
        <v>32</v>
      </c>
      <c r="K52" s="534">
        <f>K51</f>
        <v>55</v>
      </c>
      <c r="L52" s="535">
        <f>L51</f>
        <v>94.5</v>
      </c>
      <c r="M52" s="610">
        <f>M51+griesti_lampas_1st!K75</f>
        <v>249</v>
      </c>
      <c r="N52" s="533">
        <f>N51+griesti_lampas_1st!L75</f>
        <v>54</v>
      </c>
      <c r="O52" s="533">
        <f>O51</f>
        <v>24</v>
      </c>
      <c r="P52" s="533">
        <f>P51+griesti_lampas_1st!M75</f>
        <v>248</v>
      </c>
      <c r="Q52" s="533">
        <f>Q51+griesti_lampas_1st!N75</f>
        <v>57</v>
      </c>
      <c r="R52" s="600">
        <f>R51+griesti_lampas_1st!O75+griesti_lampas_3st!F6</f>
        <v>36</v>
      </c>
      <c r="S52" s="600">
        <f>S51+griesti_lampas_3st!G6+griesti_lampas_3st!G6</f>
        <v>5</v>
      </c>
      <c r="T52" s="600">
        <f>T51+griesti_lampas_1st!Q75</f>
        <v>7</v>
      </c>
      <c r="U52" s="533">
        <f>U51+griesti_lampas_1st!R75</f>
        <v>26</v>
      </c>
      <c r="V52" s="533">
        <f t="shared" ref="V52:Y52" si="4">V51</f>
        <v>16</v>
      </c>
      <c r="W52" s="600">
        <f>W51+griesti_lampas_1st!T75</f>
        <v>12</v>
      </c>
      <c r="X52" s="533">
        <f t="shared" si="4"/>
        <v>13</v>
      </c>
      <c r="Y52" s="534">
        <f t="shared" si="4"/>
        <v>8</v>
      </c>
      <c r="Z52" s="535"/>
    </row>
    <row r="53" spans="2:26" ht="16.5" customHeight="1" x14ac:dyDescent="0.25">
      <c r="C53" s="536" t="s">
        <v>133</v>
      </c>
      <c r="Z53" s="537">
        <v>28</v>
      </c>
    </row>
    <row r="54" spans="2:26" ht="5.25" customHeight="1" x14ac:dyDescent="0.25">
      <c r="C54" s="536"/>
    </row>
    <row r="55" spans="2:26" x14ac:dyDescent="0.25">
      <c r="B55" s="538" t="s">
        <v>149</v>
      </c>
      <c r="C55" s="539"/>
      <c r="D55" s="540"/>
      <c r="E55" s="541"/>
      <c r="F55" s="322"/>
      <c r="J55" s="538" t="s">
        <v>150</v>
      </c>
      <c r="K55" s="538"/>
      <c r="L55" s="540"/>
    </row>
    <row r="56" spans="2:26" x14ac:dyDescent="0.25">
      <c r="B56" s="538" t="s">
        <v>151</v>
      </c>
      <c r="C56" s="539"/>
      <c r="D56" s="540"/>
      <c r="E56" s="541"/>
      <c r="F56" s="322"/>
      <c r="J56" s="538"/>
      <c r="K56" s="538" t="s">
        <v>103</v>
      </c>
      <c r="L56" s="540"/>
    </row>
    <row r="57" spans="2:26" x14ac:dyDescent="0.25">
      <c r="B57" s="542"/>
      <c r="C57" s="538" t="s">
        <v>98</v>
      </c>
      <c r="D57" s="540"/>
      <c r="E57" s="541"/>
      <c r="F57" s="322"/>
      <c r="J57" s="538"/>
      <c r="K57" s="538" t="s">
        <v>102</v>
      </c>
      <c r="L57" s="540"/>
    </row>
    <row r="58" spans="2:26" x14ac:dyDescent="0.25">
      <c r="E58" s="541"/>
      <c r="F58" s="322"/>
      <c r="J58" s="538"/>
      <c r="K58" s="538" t="s">
        <v>115</v>
      </c>
    </row>
    <row r="59" spans="2:26" x14ac:dyDescent="0.25">
      <c r="E59" s="541"/>
      <c r="F59" s="322"/>
    </row>
    <row r="60" spans="2:26" x14ac:dyDescent="0.25">
      <c r="E60" s="541"/>
      <c r="F60" s="322"/>
    </row>
    <row r="61" spans="2:26" x14ac:dyDescent="0.25">
      <c r="E61" s="322"/>
      <c r="F61" s="322"/>
    </row>
  </sheetData>
  <mergeCells count="2">
    <mergeCell ref="E2:L2"/>
    <mergeCell ref="M2:Z2"/>
  </mergeCells>
  <pageMargins left="0.17" right="0.7" top="0.17" bottom="0.17" header="0.17" footer="0.17"/>
  <pageSetup paperSize="9" scale="43" orientation="portrait" horizontalDpi="4294967293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B1:G17"/>
  <sheetViews>
    <sheetView zoomScale="110" zoomScaleNormal="110" workbookViewId="0">
      <pane xSplit="4" topLeftCell="E1" activePane="topRight" state="frozen"/>
      <selection pane="topRight" activeCell="I17" sqref="I17"/>
    </sheetView>
  </sheetViews>
  <sheetFormatPr defaultColWidth="11.7109375" defaultRowHeight="15" x14ac:dyDescent="0.25"/>
  <cols>
    <col min="1" max="1" width="11.7109375" style="103"/>
    <col min="2" max="2" width="11.7109375" style="102"/>
    <col min="3" max="3" width="11.7109375" style="103"/>
    <col min="4" max="4" width="11.7109375" style="102"/>
    <col min="5" max="5" width="11.140625" style="102" customWidth="1"/>
    <col min="6" max="6" width="10.85546875" style="103" customWidth="1"/>
    <col min="7" max="7" width="10.7109375" style="103" customWidth="1"/>
    <col min="8" max="16384" width="11.7109375" style="103"/>
  </cols>
  <sheetData>
    <row r="1" spans="2:7" ht="15.75" thickBot="1" x14ac:dyDescent="0.3">
      <c r="F1" s="316">
        <v>5</v>
      </c>
      <c r="G1" s="316">
        <v>6</v>
      </c>
    </row>
    <row r="2" spans="2:7" ht="18" thickBot="1" x14ac:dyDescent="0.3">
      <c r="E2" s="101" t="s">
        <v>182</v>
      </c>
      <c r="F2" s="627" t="s">
        <v>116</v>
      </c>
      <c r="G2" s="628"/>
    </row>
    <row r="3" spans="2:7" ht="214.5" customHeight="1" thickBot="1" x14ac:dyDescent="0.3">
      <c r="B3" s="326" t="s">
        <v>5</v>
      </c>
      <c r="C3" s="327" t="s">
        <v>3</v>
      </c>
      <c r="D3" s="328" t="s">
        <v>138</v>
      </c>
      <c r="E3" s="318" t="s">
        <v>183</v>
      </c>
      <c r="F3" s="318" t="s">
        <v>184</v>
      </c>
      <c r="G3" s="343" t="s">
        <v>185</v>
      </c>
    </row>
    <row r="4" spans="2:7" x14ac:dyDescent="0.25">
      <c r="B4" s="82">
        <v>301</v>
      </c>
      <c r="C4" s="113" t="s">
        <v>11</v>
      </c>
      <c r="D4" s="88">
        <v>10</v>
      </c>
      <c r="E4" s="82">
        <v>24</v>
      </c>
      <c r="F4" s="82">
        <v>4</v>
      </c>
      <c r="G4" s="83"/>
    </row>
    <row r="5" spans="2:7" ht="15.75" thickBot="1" x14ac:dyDescent="0.3">
      <c r="B5" s="84">
        <v>302</v>
      </c>
      <c r="C5" s="344" t="s">
        <v>95</v>
      </c>
      <c r="D5" s="89">
        <v>16.2</v>
      </c>
      <c r="E5" s="345">
        <f>D5</f>
        <v>16.2</v>
      </c>
      <c r="F5" s="345"/>
      <c r="G5" s="346">
        <v>1</v>
      </c>
    </row>
    <row r="6" spans="2:7" s="140" customFormat="1" ht="14.25" x14ac:dyDescent="0.2">
      <c r="B6" s="86"/>
      <c r="C6" s="347" t="s">
        <v>113</v>
      </c>
      <c r="D6" s="138">
        <f>SUM(D4:D5)</f>
        <v>26.2</v>
      </c>
      <c r="E6" s="324">
        <f>SUM(E4:E5)</f>
        <v>40.200000000000003</v>
      </c>
      <c r="F6" s="86">
        <f>SUM(F4:F5)</f>
        <v>4</v>
      </c>
      <c r="G6" s="87">
        <f>SUM(G4:G5)</f>
        <v>1</v>
      </c>
    </row>
    <row r="7" spans="2:7" s="140" customFormat="1" thickBot="1" x14ac:dyDescent="0.25">
      <c r="B7" s="141"/>
      <c r="C7" s="142" t="s">
        <v>96</v>
      </c>
      <c r="D7" s="143">
        <f>D6+gridas_1st!D75+'gridas_3 st'!D6</f>
        <v>1838.8</v>
      </c>
      <c r="E7" s="325">
        <f>E6+griesti_lampas_2st!E51+griesti_lampas_1st!E75</f>
        <v>371.9</v>
      </c>
      <c r="F7" s="610">
        <f>F6+griesti_lampas_2st!R51+griesti_lampas_1st!O75</f>
        <v>36</v>
      </c>
      <c r="G7" s="601">
        <f>G6+griesti_lampas_2st!S51+griesti_lampas_1st!P75</f>
        <v>5</v>
      </c>
    </row>
    <row r="8" spans="2:7" ht="8.25" customHeight="1" x14ac:dyDescent="0.25"/>
    <row r="9" spans="2:7" ht="14.25" customHeight="1" x14ac:dyDescent="0.25">
      <c r="B9" s="640" t="s">
        <v>368</v>
      </c>
    </row>
    <row r="10" spans="2:7" ht="8.25" customHeight="1" x14ac:dyDescent="0.25"/>
    <row r="11" spans="2:7" x14ac:dyDescent="0.25">
      <c r="B11" s="146" t="s">
        <v>149</v>
      </c>
      <c r="C11" s="147"/>
      <c r="D11" s="148"/>
      <c r="E11" s="149"/>
    </row>
    <row r="12" spans="2:7" x14ac:dyDescent="0.25">
      <c r="B12" s="146" t="s">
        <v>151</v>
      </c>
      <c r="C12" s="147"/>
      <c r="D12" s="148"/>
      <c r="E12" s="149"/>
    </row>
    <row r="13" spans="2:7" x14ac:dyDescent="0.25">
      <c r="B13" s="150"/>
      <c r="C13" s="146" t="s">
        <v>98</v>
      </c>
      <c r="D13" s="148"/>
      <c r="E13" s="149"/>
    </row>
    <row r="14" spans="2:7" x14ac:dyDescent="0.25">
      <c r="B14" s="146" t="s">
        <v>150</v>
      </c>
      <c r="C14" s="146"/>
      <c r="D14" s="148"/>
      <c r="E14" s="149"/>
    </row>
    <row r="15" spans="2:7" x14ac:dyDescent="0.25">
      <c r="B15" s="146"/>
      <c r="C15" s="146" t="s">
        <v>119</v>
      </c>
      <c r="D15" s="148"/>
      <c r="E15" s="149"/>
    </row>
    <row r="16" spans="2:7" x14ac:dyDescent="0.25">
      <c r="B16" s="146"/>
      <c r="C16" s="146" t="s">
        <v>102</v>
      </c>
      <c r="D16" s="148"/>
      <c r="E16" s="149"/>
    </row>
    <row r="17" spans="2:5" x14ac:dyDescent="0.25">
      <c r="B17" s="146"/>
      <c r="C17" s="146" t="s">
        <v>118</v>
      </c>
      <c r="E17" s="103"/>
    </row>
  </sheetData>
  <mergeCells count="1">
    <mergeCell ref="F2:G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15</vt:i4>
      </vt:variant>
    </vt:vector>
  </HeadingPairs>
  <TitlesOfParts>
    <vt:vector size="15" baseType="lpstr">
      <vt:lpstr>gridas_1st</vt:lpstr>
      <vt:lpstr>gridas_2st</vt:lpstr>
      <vt:lpstr>gridas_3 st</vt:lpstr>
      <vt:lpstr>sienas_1st</vt:lpstr>
      <vt:lpstr>sienas_2st</vt:lpstr>
      <vt:lpstr>sienas_3st</vt:lpstr>
      <vt:lpstr>griesti_lampas_1st</vt:lpstr>
      <vt:lpstr>griesti_lampas_2st</vt:lpstr>
      <vt:lpstr>griesti_lampas_3st</vt:lpstr>
      <vt:lpstr>mebeles_1st</vt:lpstr>
      <vt:lpstr>mebeles_2st</vt:lpstr>
      <vt:lpstr>santehn_1st</vt:lpstr>
      <vt:lpstr>santehn_2st</vt:lpstr>
      <vt:lpstr>santehn_3st</vt:lpstr>
      <vt:lpstr>zaluzijas_durvju drosiba_1-2st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ritas</dc:creator>
  <cp:lastModifiedBy>ritas</cp:lastModifiedBy>
  <cp:lastPrinted>2014-12-09T09:21:32Z</cp:lastPrinted>
  <dcterms:created xsi:type="dcterms:W3CDTF">2014-05-26T06:36:07Z</dcterms:created>
  <dcterms:modified xsi:type="dcterms:W3CDTF">2014-12-17T14:34:10Z</dcterms:modified>
</cp:coreProperties>
</file>